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Arbejde\Producentansvar på emballage\Oprydningsansvar\"/>
    </mc:Choice>
  </mc:AlternateContent>
  <bookViews>
    <workbookView xWindow="15390" yWindow="405" windowWidth="12810" windowHeight="16470"/>
  </bookViews>
  <sheets>
    <sheet name="Model" sheetId="1" r:id="rId1"/>
    <sheet name="Fordeling efter plast" sheetId="4" r:id="rId2"/>
    <sheet name="Fordeling til producenter" sheetId="11" r:id="rId3"/>
    <sheet name="Belastningsfaktor" sheetId="8" r:id="rId4"/>
    <sheet name="Pendling" sheetId="9" r:id="rId5"/>
    <sheet name="Boligforhold" sheetId="7" r:id="rId6"/>
  </sheets>
  <definedNames>
    <definedName name="_xlnm._FilterDatabase" localSheetId="5" hidden="1">Boligforhold!$A$3:$M$119</definedName>
    <definedName name="_xlnm._FilterDatabase" localSheetId="4" hidden="1">Pendling!$A$3:$G$102</definedName>
    <definedName name="bmkCustomer" localSheetId="3">Belastningsfaktor!#REF!</definedName>
    <definedName name="bmkCustomer" localSheetId="1">'Fordeling efter plast'!#REF!</definedName>
    <definedName name="bmkCustomer" localSheetId="4">Pendling!#REF!</definedName>
    <definedName name="bmkProjektnr1" localSheetId="3">Belastningsfaktor!#REF!</definedName>
    <definedName name="bmkProjektnr1" localSheetId="1">'Fordeling efter plast'!#REF!</definedName>
    <definedName name="bmkProjektnr1" localSheetId="4">Pendling!#REF!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1" l="1"/>
  <c r="D108" i="11"/>
  <c r="D33" i="11"/>
  <c r="D34" i="11"/>
  <c r="D35" i="11"/>
  <c r="D36" i="11"/>
  <c r="D37" i="11"/>
  <c r="D38" i="11"/>
  <c r="D39" i="11"/>
  <c r="D40" i="11"/>
  <c r="D41" i="11"/>
  <c r="D42" i="11"/>
  <c r="D44" i="11"/>
  <c r="D45" i="11"/>
  <c r="D46" i="11"/>
  <c r="D47" i="11"/>
  <c r="D48" i="11"/>
  <c r="D49" i="11"/>
  <c r="D50" i="11"/>
  <c r="D51" i="11"/>
  <c r="D52" i="11"/>
  <c r="D53" i="11"/>
  <c r="D55" i="11"/>
  <c r="D56" i="11"/>
  <c r="D57" i="11"/>
  <c r="D58" i="11"/>
  <c r="D59" i="11"/>
  <c r="D60" i="11"/>
  <c r="D61" i="11"/>
  <c r="D62" i="11"/>
  <c r="D63" i="11"/>
  <c r="D64" i="11"/>
  <c r="D66" i="11"/>
  <c r="D67" i="11"/>
  <c r="D68" i="11"/>
  <c r="D69" i="11"/>
  <c r="D70" i="11"/>
  <c r="D71" i="11"/>
  <c r="D72" i="11"/>
  <c r="D73" i="11"/>
  <c r="D74" i="11"/>
  <c r="D75" i="11"/>
  <c r="D77" i="11"/>
  <c r="D78" i="11"/>
  <c r="D79" i="11"/>
  <c r="D80" i="11"/>
  <c r="D81" i="11"/>
  <c r="D82" i="11"/>
  <c r="D83" i="11"/>
  <c r="D84" i="11"/>
  <c r="D85" i="11"/>
  <c r="D86" i="11"/>
  <c r="D88" i="11"/>
  <c r="D89" i="11"/>
  <c r="D90" i="11"/>
  <c r="D91" i="11"/>
  <c r="D92" i="11"/>
  <c r="D93" i="11"/>
  <c r="D94" i="11"/>
  <c r="D95" i="11"/>
  <c r="D96" i="11"/>
  <c r="D97" i="11"/>
  <c r="D99" i="11"/>
  <c r="D100" i="11"/>
  <c r="D101" i="11"/>
  <c r="D102" i="11"/>
  <c r="D103" i="11"/>
  <c r="D104" i="11"/>
  <c r="D105" i="11"/>
  <c r="D106" i="11"/>
  <c r="D107" i="11"/>
  <c r="D23" i="11"/>
  <c r="D24" i="11"/>
  <c r="D25" i="11"/>
  <c r="D26" i="11"/>
  <c r="D27" i="11"/>
  <c r="D28" i="11"/>
  <c r="D29" i="11"/>
  <c r="D30" i="11"/>
  <c r="D31" i="11"/>
  <c r="C27" i="1"/>
  <c r="H23" i="1" s="1"/>
  <c r="I15" i="4" l="1"/>
  <c r="J7" i="11" l="1"/>
  <c r="I7" i="11"/>
  <c r="H7" i="11"/>
  <c r="G7" i="11"/>
  <c r="F7" i="11"/>
  <c r="E7" i="11"/>
  <c r="D7" i="11"/>
  <c r="C7" i="11"/>
  <c r="K26" i="1"/>
  <c r="J26" i="1"/>
  <c r="I26" i="1"/>
  <c r="H26" i="1"/>
  <c r="G26" i="1"/>
  <c r="F26" i="1"/>
  <c r="E26" i="1"/>
  <c r="D26" i="1"/>
  <c r="H15" i="4" l="1"/>
  <c r="G15" i="4"/>
  <c r="B18" i="1" l="1"/>
  <c r="B19" i="1"/>
  <c r="B17" i="1"/>
  <c r="F4" i="9" l="1"/>
  <c r="F10" i="9"/>
  <c r="F25" i="9"/>
  <c r="F34" i="9"/>
  <c r="F61" i="9"/>
  <c r="F76" i="9"/>
  <c r="F83" i="9"/>
  <c r="F84" i="9"/>
  <c r="F86" i="9"/>
  <c r="F91" i="9"/>
  <c r="F92" i="9"/>
  <c r="D15" i="4"/>
  <c r="F15" i="4"/>
  <c r="E15" i="4"/>
  <c r="C15" i="4"/>
  <c r="B24" i="4"/>
  <c r="B25" i="4"/>
  <c r="B26" i="4"/>
  <c r="B27" i="4"/>
  <c r="B28" i="4"/>
  <c r="B29" i="4"/>
  <c r="B30" i="4"/>
  <c r="B23" i="4"/>
  <c r="B21" i="11" l="1"/>
  <c r="G23" i="4"/>
  <c r="C10" i="11" s="1"/>
  <c r="F23" i="4"/>
  <c r="H23" i="4"/>
  <c r="C11" i="11" s="1"/>
  <c r="B98" i="11"/>
  <c r="G30" i="4"/>
  <c r="J10" i="11" s="1"/>
  <c r="F30" i="4"/>
  <c r="H30" i="4"/>
  <c r="J11" i="11" s="1"/>
  <c r="B87" i="11"/>
  <c r="G29" i="4"/>
  <c r="I10" i="11" s="1"/>
  <c r="F29" i="4"/>
  <c r="H29" i="4"/>
  <c r="I11" i="11" s="1"/>
  <c r="B76" i="11"/>
  <c r="G28" i="4"/>
  <c r="H10" i="11" s="1"/>
  <c r="F28" i="4"/>
  <c r="H28" i="4"/>
  <c r="H11" i="11" s="1"/>
  <c r="B65" i="11"/>
  <c r="G27" i="4"/>
  <c r="G10" i="11" s="1"/>
  <c r="F27" i="4"/>
  <c r="H27" i="4"/>
  <c r="G11" i="11" s="1"/>
  <c r="B54" i="11"/>
  <c r="G26" i="4"/>
  <c r="F10" i="11" s="1"/>
  <c r="F26" i="4"/>
  <c r="H26" i="4"/>
  <c r="F11" i="11" s="1"/>
  <c r="B43" i="11"/>
  <c r="G25" i="4"/>
  <c r="E10" i="11" s="1"/>
  <c r="F25" i="4"/>
  <c r="H25" i="4"/>
  <c r="E11" i="11" s="1"/>
  <c r="B32" i="11"/>
  <c r="G24" i="4"/>
  <c r="D10" i="11" s="1"/>
  <c r="F24" i="4"/>
  <c r="H24" i="4"/>
  <c r="D11" i="11" s="1"/>
  <c r="I5" i="7"/>
  <c r="I7" i="7"/>
  <c r="C11" i="8" s="1"/>
  <c r="H34" i="11" l="1"/>
  <c r="H38" i="11"/>
  <c r="H42" i="11"/>
  <c r="H37" i="11"/>
  <c r="H41" i="11"/>
  <c r="H33" i="11"/>
  <c r="H35" i="11"/>
  <c r="H36" i="11"/>
  <c r="H40" i="11"/>
  <c r="H39" i="11"/>
  <c r="G37" i="11"/>
  <c r="G41" i="11"/>
  <c r="G36" i="11"/>
  <c r="G40" i="11"/>
  <c r="G38" i="11"/>
  <c r="G35" i="11"/>
  <c r="G39" i="11"/>
  <c r="G33" i="11"/>
  <c r="G34" i="11"/>
  <c r="G42" i="11"/>
  <c r="H47" i="11"/>
  <c r="H51" i="11"/>
  <c r="H48" i="11"/>
  <c r="H52" i="11"/>
  <c r="H46" i="11"/>
  <c r="H50" i="11"/>
  <c r="H44" i="11"/>
  <c r="H45" i="11"/>
  <c r="H49" i="11"/>
  <c r="H53" i="11"/>
  <c r="G46" i="11"/>
  <c r="G50" i="11"/>
  <c r="G44" i="11"/>
  <c r="G45" i="11"/>
  <c r="G49" i="11"/>
  <c r="G53" i="11"/>
  <c r="G47" i="11"/>
  <c r="G51" i="11"/>
  <c r="G48" i="11"/>
  <c r="G52" i="11"/>
  <c r="H56" i="11"/>
  <c r="H60" i="11"/>
  <c r="H64" i="11"/>
  <c r="H59" i="11"/>
  <c r="H63" i="11"/>
  <c r="H55" i="11"/>
  <c r="H58" i="11"/>
  <c r="H62" i="11"/>
  <c r="H57" i="11"/>
  <c r="H61" i="11"/>
  <c r="G59" i="11"/>
  <c r="G63" i="11"/>
  <c r="G58" i="11"/>
  <c r="G62" i="11"/>
  <c r="G56" i="11"/>
  <c r="G57" i="11"/>
  <c r="G61" i="11"/>
  <c r="G55" i="11"/>
  <c r="G60" i="11"/>
  <c r="G64" i="11"/>
  <c r="H69" i="11"/>
  <c r="H73" i="11"/>
  <c r="H68" i="11"/>
  <c r="H72" i="11"/>
  <c r="H74" i="11"/>
  <c r="H67" i="11"/>
  <c r="H71" i="11"/>
  <c r="H75" i="11"/>
  <c r="H70" i="11"/>
  <c r="H66" i="11"/>
  <c r="G68" i="11"/>
  <c r="G72" i="11"/>
  <c r="G66" i="11"/>
  <c r="G67" i="11"/>
  <c r="G71" i="11"/>
  <c r="G75" i="11"/>
  <c r="G69" i="11"/>
  <c r="G70" i="11"/>
  <c r="G74" i="11"/>
  <c r="G73" i="11"/>
  <c r="H78" i="11"/>
  <c r="H82" i="11"/>
  <c r="H86" i="11"/>
  <c r="H81" i="11"/>
  <c r="H85" i="11"/>
  <c r="H77" i="11"/>
  <c r="H80" i="11"/>
  <c r="H84" i="11"/>
  <c r="H79" i="11"/>
  <c r="H83" i="11"/>
  <c r="G81" i="11"/>
  <c r="G85" i="11"/>
  <c r="G80" i="11"/>
  <c r="G84" i="11"/>
  <c r="G78" i="11"/>
  <c r="G79" i="11"/>
  <c r="G83" i="11"/>
  <c r="G77" i="11"/>
  <c r="G82" i="11"/>
  <c r="G86" i="11"/>
  <c r="H91" i="11"/>
  <c r="H95" i="11"/>
  <c r="H96" i="11"/>
  <c r="H90" i="11"/>
  <c r="H94" i="11"/>
  <c r="H92" i="11"/>
  <c r="H89" i="11"/>
  <c r="H93" i="11"/>
  <c r="H97" i="11"/>
  <c r="H88" i="11"/>
  <c r="G90" i="11"/>
  <c r="G94" i="11"/>
  <c r="G88" i="11"/>
  <c r="G89" i="11"/>
  <c r="G93" i="11"/>
  <c r="G97" i="11"/>
  <c r="G91" i="11"/>
  <c r="G92" i="11"/>
  <c r="G96" i="11"/>
  <c r="G95" i="11"/>
  <c r="H106" i="11"/>
  <c r="H102" i="11"/>
  <c r="H107" i="11"/>
  <c r="H103" i="11"/>
  <c r="H99" i="11"/>
  <c r="H108" i="11"/>
  <c r="H104" i="11"/>
  <c r="H100" i="11"/>
  <c r="H105" i="11"/>
  <c r="H101" i="11"/>
  <c r="G105" i="11"/>
  <c r="G101" i="11"/>
  <c r="G99" i="11"/>
  <c r="G106" i="11"/>
  <c r="G102" i="11"/>
  <c r="G107" i="11"/>
  <c r="G103" i="11"/>
  <c r="G108" i="11"/>
  <c r="G104" i="11"/>
  <c r="G100" i="11"/>
  <c r="G25" i="11"/>
  <c r="G29" i="11"/>
  <c r="G22" i="11"/>
  <c r="G26" i="11"/>
  <c r="G30" i="11"/>
  <c r="G28" i="11"/>
  <c r="K10" i="11"/>
  <c r="G23" i="11"/>
  <c r="G27" i="11"/>
  <c r="G31" i="11"/>
  <c r="G24" i="11"/>
  <c r="H23" i="11"/>
  <c r="H27" i="11"/>
  <c r="H31" i="11"/>
  <c r="K11" i="11"/>
  <c r="H26" i="11"/>
  <c r="H24" i="11"/>
  <c r="H28" i="11"/>
  <c r="H22" i="11"/>
  <c r="H30" i="11"/>
  <c r="H25" i="11"/>
  <c r="H29" i="11"/>
  <c r="H31" i="4"/>
  <c r="F31" i="4"/>
  <c r="G31" i="4"/>
  <c r="C6" i="8"/>
  <c r="D6" i="8"/>
  <c r="C4" i="9"/>
  <c r="B4" i="9"/>
  <c r="I4" i="7" l="1"/>
  <c r="C10" i="8" s="1"/>
  <c r="J4" i="7" l="1"/>
  <c r="K4" i="7" s="1"/>
  <c r="M4" i="7"/>
  <c r="E10" i="8" s="1"/>
  <c r="K39" i="7" l="1"/>
  <c r="M39" i="7" s="1"/>
  <c r="I119" i="7" l="1"/>
  <c r="C108" i="8" s="1"/>
  <c r="I118" i="7"/>
  <c r="C107" i="8" s="1"/>
  <c r="I117" i="7"/>
  <c r="C106" i="8" s="1"/>
  <c r="I116" i="7"/>
  <c r="C105" i="8" s="1"/>
  <c r="I115" i="7"/>
  <c r="C104" i="8" s="1"/>
  <c r="I114" i="7"/>
  <c r="C103" i="8" s="1"/>
  <c r="I113" i="7"/>
  <c r="C102" i="8" s="1"/>
  <c r="I112" i="7"/>
  <c r="C101" i="8" s="1"/>
  <c r="I111" i="7"/>
  <c r="C100" i="8" s="1"/>
  <c r="I110" i="7"/>
  <c r="C99" i="8" s="1"/>
  <c r="I109" i="7"/>
  <c r="C98" i="8" s="1"/>
  <c r="I108" i="7"/>
  <c r="J108" i="7" s="1"/>
  <c r="K108" i="7" s="1"/>
  <c r="M108" i="7" s="1"/>
  <c r="I107" i="7"/>
  <c r="J107" i="7" s="1"/>
  <c r="K107" i="7" s="1"/>
  <c r="M107" i="7" s="1"/>
  <c r="I106" i="7"/>
  <c r="C97" i="8" s="1"/>
  <c r="I105" i="7"/>
  <c r="C96" i="8" s="1"/>
  <c r="I104" i="7"/>
  <c r="C95" i="8" s="1"/>
  <c r="I103" i="7"/>
  <c r="C94" i="8" s="1"/>
  <c r="I102" i="7"/>
  <c r="C93" i="8" s="1"/>
  <c r="I101" i="7"/>
  <c r="C92" i="8" s="1"/>
  <c r="I100" i="7"/>
  <c r="C91" i="8" s="1"/>
  <c r="I99" i="7"/>
  <c r="C90" i="8" s="1"/>
  <c r="I98" i="7"/>
  <c r="J98" i="7" s="1"/>
  <c r="K98" i="7" s="1"/>
  <c r="M98" i="7" s="1"/>
  <c r="I97" i="7"/>
  <c r="C89" i="8" s="1"/>
  <c r="I96" i="7"/>
  <c r="C88" i="8" s="1"/>
  <c r="I95" i="7"/>
  <c r="C87" i="8" s="1"/>
  <c r="I94" i="7"/>
  <c r="C86" i="8" s="1"/>
  <c r="I93" i="7"/>
  <c r="C85" i="8" s="1"/>
  <c r="I92" i="7"/>
  <c r="C84" i="8" s="1"/>
  <c r="I91" i="7"/>
  <c r="C83" i="8" s="1"/>
  <c r="I90" i="7"/>
  <c r="C82" i="8" s="1"/>
  <c r="I89" i="7"/>
  <c r="C81" i="8" s="1"/>
  <c r="I88" i="7"/>
  <c r="C80" i="8" s="1"/>
  <c r="I87" i="7"/>
  <c r="C79" i="8" s="1"/>
  <c r="I86" i="7"/>
  <c r="J86" i="7" s="1"/>
  <c r="K86" i="7" s="1"/>
  <c r="M86" i="7" s="1"/>
  <c r="I85" i="7"/>
  <c r="J85" i="7" s="1"/>
  <c r="K85" i="7" s="1"/>
  <c r="M85" i="7" s="1"/>
  <c r="I84" i="7"/>
  <c r="C78" i="8" s="1"/>
  <c r="I83" i="7"/>
  <c r="C77" i="8" s="1"/>
  <c r="I82" i="7"/>
  <c r="C76" i="8" s="1"/>
  <c r="I81" i="7"/>
  <c r="C75" i="8" s="1"/>
  <c r="I80" i="7"/>
  <c r="C74" i="8" s="1"/>
  <c r="I79" i="7"/>
  <c r="C73" i="8" s="1"/>
  <c r="I78" i="7"/>
  <c r="C72" i="8" s="1"/>
  <c r="I77" i="7"/>
  <c r="C71" i="8" s="1"/>
  <c r="I76" i="7"/>
  <c r="C70" i="8" s="1"/>
  <c r="I75" i="7"/>
  <c r="C69" i="8" s="1"/>
  <c r="I74" i="7"/>
  <c r="C68" i="8" s="1"/>
  <c r="I73" i="7"/>
  <c r="C67" i="8" s="1"/>
  <c r="I72" i="7"/>
  <c r="J72" i="7" s="1"/>
  <c r="K72" i="7" s="1"/>
  <c r="M72" i="7" s="1"/>
  <c r="I71" i="7"/>
  <c r="C66" i="8" s="1"/>
  <c r="I70" i="7"/>
  <c r="C65" i="8" s="1"/>
  <c r="I69" i="7"/>
  <c r="C64" i="8" s="1"/>
  <c r="I68" i="7"/>
  <c r="C63" i="8" s="1"/>
  <c r="I67" i="7"/>
  <c r="C62" i="8" s="1"/>
  <c r="I66" i="7"/>
  <c r="C61" i="8" s="1"/>
  <c r="I65" i="7"/>
  <c r="C60" i="8" s="1"/>
  <c r="I64" i="7"/>
  <c r="C59" i="8" s="1"/>
  <c r="I63" i="7"/>
  <c r="C58" i="8" s="1"/>
  <c r="I62" i="7"/>
  <c r="C57" i="8" s="1"/>
  <c r="I61" i="7"/>
  <c r="J61" i="7" s="1"/>
  <c r="K61" i="7" s="1"/>
  <c r="M61" i="7" s="1"/>
  <c r="I60" i="7"/>
  <c r="J60" i="7" s="1"/>
  <c r="K60" i="7" s="1"/>
  <c r="M60" i="7" s="1"/>
  <c r="I59" i="7"/>
  <c r="C56" i="8" s="1"/>
  <c r="I58" i="7"/>
  <c r="C55" i="8" s="1"/>
  <c r="I57" i="7"/>
  <c r="C54" i="8" s="1"/>
  <c r="I56" i="7"/>
  <c r="C53" i="8" s="1"/>
  <c r="I55" i="7"/>
  <c r="C52" i="8" s="1"/>
  <c r="I54" i="7"/>
  <c r="C51" i="8" s="1"/>
  <c r="I53" i="7"/>
  <c r="C50" i="8" s="1"/>
  <c r="I52" i="7"/>
  <c r="C49" i="8" s="1"/>
  <c r="I51" i="7"/>
  <c r="C48" i="8" s="1"/>
  <c r="I50" i="7"/>
  <c r="C47" i="8" s="1"/>
  <c r="I49" i="7"/>
  <c r="C46" i="8" s="1"/>
  <c r="I48" i="7"/>
  <c r="C45" i="8" s="1"/>
  <c r="I47" i="7"/>
  <c r="J47" i="7" s="1"/>
  <c r="K47" i="7" s="1"/>
  <c r="M47" i="7" s="1"/>
  <c r="I46" i="7"/>
  <c r="C44" i="8" s="1"/>
  <c r="I45" i="7"/>
  <c r="C43" i="8" s="1"/>
  <c r="I44" i="7"/>
  <c r="C42" i="8" s="1"/>
  <c r="I43" i="7"/>
  <c r="C41" i="8" s="1"/>
  <c r="I42" i="7"/>
  <c r="C40" i="8" s="1"/>
  <c r="I41" i="7"/>
  <c r="J41" i="7" s="1"/>
  <c r="K41" i="7" s="1"/>
  <c r="M41" i="7" s="1"/>
  <c r="I40" i="7"/>
  <c r="J40" i="7" s="1"/>
  <c r="K40" i="7" s="1"/>
  <c r="M40" i="7" s="1"/>
  <c r="I39" i="7"/>
  <c r="I38" i="7"/>
  <c r="C39" i="8" s="1"/>
  <c r="I37" i="7"/>
  <c r="J37" i="7" s="1"/>
  <c r="K37" i="7" s="1"/>
  <c r="M37" i="7" s="1"/>
  <c r="I36" i="7"/>
  <c r="C38" i="8" s="1"/>
  <c r="I35" i="7"/>
  <c r="C37" i="8" s="1"/>
  <c r="I34" i="7"/>
  <c r="C36" i="8" s="1"/>
  <c r="I33" i="7"/>
  <c r="C35" i="8" s="1"/>
  <c r="I32" i="7"/>
  <c r="C34" i="8" s="1"/>
  <c r="I31" i="7"/>
  <c r="C33" i="8" s="1"/>
  <c r="I30" i="7"/>
  <c r="C32" i="8" s="1"/>
  <c r="I29" i="7"/>
  <c r="C31" i="8" s="1"/>
  <c r="I28" i="7"/>
  <c r="C30" i="8" s="1"/>
  <c r="I27" i="7"/>
  <c r="C29" i="8" s="1"/>
  <c r="I26" i="7"/>
  <c r="C28" i="8" s="1"/>
  <c r="I25" i="7"/>
  <c r="J25" i="7" s="1"/>
  <c r="K25" i="7" s="1"/>
  <c r="M25" i="7" s="1"/>
  <c r="I24" i="7"/>
  <c r="C27" i="8" s="1"/>
  <c r="I23" i="7"/>
  <c r="C26" i="8" s="1"/>
  <c r="I22" i="7"/>
  <c r="C25" i="8" s="1"/>
  <c r="I21" i="7"/>
  <c r="C24" i="8" s="1"/>
  <c r="I20" i="7"/>
  <c r="C23" i="8" s="1"/>
  <c r="I19" i="7"/>
  <c r="C22" i="8" s="1"/>
  <c r="I18" i="7"/>
  <c r="C21" i="8" s="1"/>
  <c r="I17" i="7"/>
  <c r="C20" i="8" s="1"/>
  <c r="I16" i="7"/>
  <c r="C19" i="8" s="1"/>
  <c r="I15" i="7"/>
  <c r="C18" i="8" s="1"/>
  <c r="I14" i="7"/>
  <c r="C17" i="8" s="1"/>
  <c r="I13" i="7"/>
  <c r="C16" i="8" s="1"/>
  <c r="I12" i="7"/>
  <c r="C15" i="8" s="1"/>
  <c r="I11" i="7"/>
  <c r="J11" i="7" s="1"/>
  <c r="K11" i="7" s="1"/>
  <c r="M11" i="7" s="1"/>
  <c r="I10" i="7"/>
  <c r="C14" i="8" s="1"/>
  <c r="I9" i="7"/>
  <c r="C13" i="8" s="1"/>
  <c r="I8" i="7"/>
  <c r="C12" i="8" s="1"/>
  <c r="I6" i="7"/>
  <c r="J6" i="7" s="1"/>
  <c r="K6" i="7" s="1"/>
  <c r="M6" i="7" s="1"/>
  <c r="J5" i="7"/>
  <c r="K5" i="7" s="1"/>
  <c r="M5" i="7" s="1"/>
  <c r="E5" i="9" l="1"/>
  <c r="J8" i="7"/>
  <c r="C39" i="1"/>
  <c r="J12" i="7"/>
  <c r="C42" i="1"/>
  <c r="J16" i="7"/>
  <c r="C46" i="1"/>
  <c r="J20" i="7"/>
  <c r="C50" i="1"/>
  <c r="J24" i="7"/>
  <c r="C54" i="1"/>
  <c r="J28" i="7"/>
  <c r="C57" i="1"/>
  <c r="J32" i="7"/>
  <c r="C61" i="1"/>
  <c r="J36" i="7"/>
  <c r="C65" i="1"/>
  <c r="J44" i="7"/>
  <c r="C69" i="1"/>
  <c r="J48" i="7"/>
  <c r="C72" i="1"/>
  <c r="J52" i="7"/>
  <c r="C76" i="1"/>
  <c r="J56" i="7"/>
  <c r="C80" i="1"/>
  <c r="J64" i="7"/>
  <c r="C86" i="1"/>
  <c r="J68" i="7"/>
  <c r="C90" i="1"/>
  <c r="J76" i="7"/>
  <c r="C97" i="1"/>
  <c r="J80" i="7"/>
  <c r="C101" i="1"/>
  <c r="J84" i="7"/>
  <c r="C105" i="1"/>
  <c r="J88" i="7"/>
  <c r="C107" i="1"/>
  <c r="J92" i="7"/>
  <c r="C111" i="1"/>
  <c r="J96" i="7"/>
  <c r="C115" i="1"/>
  <c r="J100" i="7"/>
  <c r="C118" i="1"/>
  <c r="J104" i="7"/>
  <c r="C122" i="1"/>
  <c r="J112" i="7"/>
  <c r="C128" i="1"/>
  <c r="J13" i="7"/>
  <c r="C43" i="1"/>
  <c r="J17" i="7"/>
  <c r="C47" i="1"/>
  <c r="J21" i="7"/>
  <c r="C51" i="1"/>
  <c r="J29" i="7"/>
  <c r="C58" i="1"/>
  <c r="J45" i="7"/>
  <c r="C70" i="1"/>
  <c r="J73" i="7"/>
  <c r="C94" i="1"/>
  <c r="J93" i="7"/>
  <c r="C112" i="1"/>
  <c r="J97" i="7"/>
  <c r="C116" i="1"/>
  <c r="J101" i="7"/>
  <c r="C119" i="1"/>
  <c r="J105" i="7"/>
  <c r="C123" i="1"/>
  <c r="J113" i="7"/>
  <c r="C129" i="1"/>
  <c r="J117" i="7"/>
  <c r="C133" i="1"/>
  <c r="J10" i="7"/>
  <c r="C41" i="1"/>
  <c r="J14" i="7"/>
  <c r="C44" i="1"/>
  <c r="J18" i="7"/>
  <c r="C48" i="1"/>
  <c r="J22" i="7"/>
  <c r="C52" i="1"/>
  <c r="J26" i="7"/>
  <c r="C55" i="1"/>
  <c r="J30" i="7"/>
  <c r="C59" i="1"/>
  <c r="J34" i="7"/>
  <c r="C63" i="1"/>
  <c r="J38" i="7"/>
  <c r="C66" i="1"/>
  <c r="J42" i="7"/>
  <c r="C67" i="1"/>
  <c r="J46" i="7"/>
  <c r="C71" i="1"/>
  <c r="J50" i="7"/>
  <c r="C74" i="1"/>
  <c r="J54" i="7"/>
  <c r="C78" i="1"/>
  <c r="J58" i="7"/>
  <c r="C82" i="1"/>
  <c r="J62" i="7"/>
  <c r="C84" i="1"/>
  <c r="J66" i="7"/>
  <c r="C88" i="1"/>
  <c r="J70" i="7"/>
  <c r="C92" i="1"/>
  <c r="J74" i="7"/>
  <c r="C95" i="1"/>
  <c r="J78" i="7"/>
  <c r="C99" i="1"/>
  <c r="J82" i="7"/>
  <c r="C103" i="1"/>
  <c r="J90" i="7"/>
  <c r="C109" i="1"/>
  <c r="J94" i="7"/>
  <c r="C113" i="1"/>
  <c r="J102" i="7"/>
  <c r="C120" i="1"/>
  <c r="J106" i="7"/>
  <c r="C124" i="1"/>
  <c r="J110" i="7"/>
  <c r="C126" i="1"/>
  <c r="J114" i="7"/>
  <c r="C130" i="1"/>
  <c r="J118" i="7"/>
  <c r="C134" i="1"/>
  <c r="J116" i="7"/>
  <c r="C132" i="1"/>
  <c r="J9" i="7"/>
  <c r="C40" i="1"/>
  <c r="J33" i="7"/>
  <c r="C62" i="1"/>
  <c r="J49" i="7"/>
  <c r="C73" i="1"/>
  <c r="J53" i="7"/>
  <c r="C77" i="1"/>
  <c r="J57" i="7"/>
  <c r="C81" i="1"/>
  <c r="J65" i="7"/>
  <c r="C87" i="1"/>
  <c r="J69" i="7"/>
  <c r="C91" i="1"/>
  <c r="J77" i="7"/>
  <c r="C98" i="1"/>
  <c r="J81" i="7"/>
  <c r="C102" i="1"/>
  <c r="J89" i="7"/>
  <c r="C108" i="1"/>
  <c r="J109" i="7"/>
  <c r="C125" i="1"/>
  <c r="J7" i="7"/>
  <c r="C38" i="1"/>
  <c r="J15" i="7"/>
  <c r="C45" i="1"/>
  <c r="J19" i="7"/>
  <c r="C49" i="1"/>
  <c r="J23" i="7"/>
  <c r="C53" i="1"/>
  <c r="J27" i="7"/>
  <c r="C56" i="1"/>
  <c r="J31" i="7"/>
  <c r="C60" i="1"/>
  <c r="J35" i="7"/>
  <c r="C64" i="1"/>
  <c r="J43" i="7"/>
  <c r="C68" i="1"/>
  <c r="J51" i="7"/>
  <c r="C75" i="1"/>
  <c r="J55" i="7"/>
  <c r="C79" i="1"/>
  <c r="J59" i="7"/>
  <c r="C83" i="1"/>
  <c r="J63" i="7"/>
  <c r="C85" i="1"/>
  <c r="J67" i="7"/>
  <c r="C89" i="1"/>
  <c r="J71" i="7"/>
  <c r="C93" i="1"/>
  <c r="J75" i="7"/>
  <c r="C96" i="1"/>
  <c r="J79" i="7"/>
  <c r="C100" i="1"/>
  <c r="J83" i="7"/>
  <c r="C104" i="1"/>
  <c r="J87" i="7"/>
  <c r="C106" i="1"/>
  <c r="J91" i="7"/>
  <c r="C110" i="1"/>
  <c r="J95" i="7"/>
  <c r="C114" i="1"/>
  <c r="J99" i="7"/>
  <c r="C117" i="1"/>
  <c r="J103" i="7"/>
  <c r="C121" i="1"/>
  <c r="J111" i="7"/>
  <c r="C127" i="1"/>
  <c r="J115" i="7"/>
  <c r="C131" i="1"/>
  <c r="J119" i="7"/>
  <c r="C135" i="1"/>
  <c r="C37" i="1" l="1"/>
  <c r="E83" i="9"/>
  <c r="D83" i="9" s="1"/>
  <c r="E17" i="9"/>
  <c r="D17" i="9" s="1"/>
  <c r="E20" i="9"/>
  <c r="D20" i="9" s="1"/>
  <c r="E43" i="9"/>
  <c r="D43" i="9" s="1"/>
  <c r="E7" i="9"/>
  <c r="D7" i="9" s="1"/>
  <c r="E92" i="9"/>
  <c r="D92" i="9" s="1"/>
  <c r="E49" i="9"/>
  <c r="D49" i="9" s="1"/>
  <c r="E22" i="9"/>
  <c r="D22" i="9" s="1"/>
  <c r="E73" i="9"/>
  <c r="D73" i="9" s="1"/>
  <c r="E38" i="9"/>
  <c r="D38" i="9" s="1"/>
  <c r="E8" i="9"/>
  <c r="D8" i="9" s="1"/>
  <c r="E21" i="9"/>
  <c r="D21" i="9" s="1"/>
  <c r="E66" i="9"/>
  <c r="D66" i="9" s="1"/>
  <c r="E101" i="9"/>
  <c r="D101" i="9" s="1"/>
  <c r="E62" i="9"/>
  <c r="D62" i="9" s="1"/>
  <c r="E18" i="9"/>
  <c r="D18" i="9" s="1"/>
  <c r="E44" i="9"/>
  <c r="D44" i="9" s="1"/>
  <c r="E54" i="9"/>
  <c r="D54" i="9" s="1"/>
  <c r="E30" i="9"/>
  <c r="D30" i="9" s="1"/>
  <c r="E53" i="9"/>
  <c r="D53" i="9" s="1"/>
  <c r="E14" i="9"/>
  <c r="D14" i="9" s="1"/>
  <c r="E71" i="9"/>
  <c r="D71" i="9" s="1"/>
  <c r="E12" i="9"/>
  <c r="D12" i="9" s="1"/>
  <c r="E97" i="9"/>
  <c r="D97" i="9" s="1"/>
  <c r="E99" i="9"/>
  <c r="D99" i="9" s="1"/>
  <c r="E64" i="9"/>
  <c r="D64" i="9" s="1"/>
  <c r="E77" i="9"/>
  <c r="D77" i="9" s="1"/>
  <c r="E59" i="9"/>
  <c r="D59" i="9" s="1"/>
  <c r="E16" i="9"/>
  <c r="D16" i="9" s="1"/>
  <c r="E32" i="9"/>
  <c r="D32" i="9" s="1"/>
  <c r="E34" i="9"/>
  <c r="D34" i="9" s="1"/>
  <c r="E87" i="9"/>
  <c r="D87" i="9" s="1"/>
  <c r="E65" i="9"/>
  <c r="D65" i="9" s="1"/>
  <c r="E42" i="9"/>
  <c r="D42" i="9" s="1"/>
  <c r="E26" i="9"/>
  <c r="D26" i="9" s="1"/>
  <c r="E24" i="9"/>
  <c r="D24" i="9" s="1"/>
  <c r="E76" i="9"/>
  <c r="D76" i="9" s="1"/>
  <c r="E55" i="9"/>
  <c r="D55" i="9" s="1"/>
  <c r="E56" i="9"/>
  <c r="D56" i="9" s="1"/>
  <c r="E35" i="9"/>
  <c r="D35" i="9" s="1"/>
  <c r="E91" i="9"/>
  <c r="D91" i="9" s="1"/>
  <c r="E85" i="9"/>
  <c r="D85" i="9" s="1"/>
  <c r="E100" i="9"/>
  <c r="D100" i="9" s="1"/>
  <c r="E94" i="9"/>
  <c r="D94" i="9" s="1"/>
  <c r="E86" i="9"/>
  <c r="D86" i="9" s="1"/>
  <c r="E41" i="9"/>
  <c r="D41" i="9" s="1"/>
  <c r="E69" i="9"/>
  <c r="D69" i="9" s="1"/>
  <c r="E78" i="9"/>
  <c r="D78" i="9" s="1"/>
  <c r="E39" i="9"/>
  <c r="D39" i="9" s="1"/>
  <c r="E25" i="9"/>
  <c r="D25" i="9" s="1"/>
  <c r="E68" i="9"/>
  <c r="D68" i="9" s="1"/>
  <c r="E52" i="9"/>
  <c r="D52" i="9" s="1"/>
  <c r="E31" i="9"/>
  <c r="D31" i="9" s="1"/>
  <c r="E58" i="9"/>
  <c r="D58" i="9" s="1"/>
  <c r="E60" i="9"/>
  <c r="D60" i="9" s="1"/>
  <c r="E11" i="9"/>
  <c r="D11" i="9" s="1"/>
  <c r="E45" i="9"/>
  <c r="D45" i="9" s="1"/>
  <c r="E81" i="9"/>
  <c r="D81" i="9" s="1"/>
  <c r="E40" i="9"/>
  <c r="D40" i="9" s="1"/>
  <c r="E84" i="9"/>
  <c r="D84" i="9" s="1"/>
  <c r="E47" i="9"/>
  <c r="D47" i="9" s="1"/>
  <c r="D5" i="9"/>
  <c r="E57" i="9"/>
  <c r="D57" i="9" s="1"/>
  <c r="E89" i="9"/>
  <c r="D89" i="9" s="1"/>
  <c r="E29" i="9"/>
  <c r="D29" i="9" s="1"/>
  <c r="E28" i="9"/>
  <c r="D28" i="9" s="1"/>
  <c r="E6" i="9"/>
  <c r="D6" i="9" s="1"/>
  <c r="E67" i="9"/>
  <c r="D67" i="9" s="1"/>
  <c r="E15" i="9"/>
  <c r="D15" i="9" s="1"/>
  <c r="E95" i="9"/>
  <c r="D95" i="9" s="1"/>
  <c r="E98" i="9"/>
  <c r="D98" i="9" s="1"/>
  <c r="E75" i="9"/>
  <c r="D75" i="9" s="1"/>
  <c r="E90" i="9"/>
  <c r="D90" i="9" s="1"/>
  <c r="E19" i="9"/>
  <c r="D19" i="9" s="1"/>
  <c r="E102" i="9"/>
  <c r="D102" i="9" s="1"/>
  <c r="E79" i="9"/>
  <c r="D79" i="9" s="1"/>
  <c r="E80" i="9"/>
  <c r="D80" i="9" s="1"/>
  <c r="E48" i="9"/>
  <c r="D48" i="9" s="1"/>
  <c r="E9" i="9"/>
  <c r="D9" i="9" s="1"/>
  <c r="E13" i="9"/>
  <c r="D13" i="9" s="1"/>
  <c r="E23" i="9"/>
  <c r="D23" i="9" s="1"/>
  <c r="E82" i="9"/>
  <c r="D82" i="9" s="1"/>
  <c r="E74" i="9"/>
  <c r="D74" i="9" s="1"/>
  <c r="E61" i="9"/>
  <c r="D61" i="9" s="1"/>
  <c r="E27" i="9"/>
  <c r="D27" i="9" s="1"/>
  <c r="E36" i="9"/>
  <c r="D36" i="9" s="1"/>
  <c r="E63" i="9"/>
  <c r="D63" i="9" s="1"/>
  <c r="E72" i="9"/>
  <c r="D72" i="9" s="1"/>
  <c r="E51" i="9"/>
  <c r="D51" i="9" s="1"/>
  <c r="E50" i="9"/>
  <c r="D50" i="9" s="1"/>
  <c r="E37" i="9"/>
  <c r="D37" i="9" s="1"/>
  <c r="E96" i="9"/>
  <c r="D96" i="9" s="1"/>
  <c r="E33" i="9"/>
  <c r="D33" i="9" s="1"/>
  <c r="E46" i="9"/>
  <c r="D46" i="9" s="1"/>
  <c r="E88" i="9"/>
  <c r="D88" i="9" s="1"/>
  <c r="E70" i="9"/>
  <c r="D70" i="9" s="1"/>
  <c r="E10" i="9"/>
  <c r="D10" i="9" s="1"/>
  <c r="E93" i="9"/>
  <c r="D93" i="9" s="1"/>
  <c r="K119" i="7"/>
  <c r="M119" i="7" s="1"/>
  <c r="E108" i="8" s="1"/>
  <c r="K111" i="7"/>
  <c r="M111" i="7" s="1"/>
  <c r="E100" i="8" s="1"/>
  <c r="K99" i="7"/>
  <c r="M99" i="7" s="1"/>
  <c r="E90" i="8" s="1"/>
  <c r="K91" i="7"/>
  <c r="M91" i="7" s="1"/>
  <c r="E83" i="8" s="1"/>
  <c r="K83" i="7"/>
  <c r="M83" i="7" s="1"/>
  <c r="E77" i="8" s="1"/>
  <c r="K75" i="7"/>
  <c r="M75" i="7" s="1"/>
  <c r="E69" i="8" s="1"/>
  <c r="K67" i="7"/>
  <c r="M67" i="7" s="1"/>
  <c r="E62" i="8" s="1"/>
  <c r="K59" i="7"/>
  <c r="M59" i="7" s="1"/>
  <c r="E56" i="8" s="1"/>
  <c r="K51" i="7"/>
  <c r="M51" i="7" s="1"/>
  <c r="E48" i="8" s="1"/>
  <c r="K35" i="7"/>
  <c r="M35" i="7" s="1"/>
  <c r="E37" i="8" s="1"/>
  <c r="K27" i="7"/>
  <c r="M27" i="7" s="1"/>
  <c r="E29" i="8" s="1"/>
  <c r="K19" i="7"/>
  <c r="M19" i="7" s="1"/>
  <c r="E22" i="8" s="1"/>
  <c r="K7" i="7"/>
  <c r="M7" i="7" s="1"/>
  <c r="K89" i="7"/>
  <c r="M89" i="7" s="1"/>
  <c r="E81" i="8" s="1"/>
  <c r="K77" i="7"/>
  <c r="M77" i="7" s="1"/>
  <c r="E71" i="8" s="1"/>
  <c r="K65" i="7"/>
  <c r="M65" i="7" s="1"/>
  <c r="E60" i="8" s="1"/>
  <c r="K53" i="7"/>
  <c r="M53" i="7" s="1"/>
  <c r="E50" i="8" s="1"/>
  <c r="K33" i="7"/>
  <c r="M33" i="7" s="1"/>
  <c r="E35" i="8" s="1"/>
  <c r="K116" i="7"/>
  <c r="M116" i="7" s="1"/>
  <c r="E105" i="8" s="1"/>
  <c r="K114" i="7"/>
  <c r="M114" i="7" s="1"/>
  <c r="E103" i="8" s="1"/>
  <c r="K106" i="7"/>
  <c r="M106" i="7" s="1"/>
  <c r="E97" i="8" s="1"/>
  <c r="K94" i="7"/>
  <c r="M94" i="7" s="1"/>
  <c r="E86" i="8" s="1"/>
  <c r="K82" i="7"/>
  <c r="M82" i="7" s="1"/>
  <c r="E76" i="8" s="1"/>
  <c r="K74" i="7"/>
  <c r="M74" i="7" s="1"/>
  <c r="E68" i="8" s="1"/>
  <c r="K66" i="7"/>
  <c r="M66" i="7" s="1"/>
  <c r="E61" i="8" s="1"/>
  <c r="K58" i="7"/>
  <c r="M58" i="7" s="1"/>
  <c r="E55" i="8" s="1"/>
  <c r="K50" i="7"/>
  <c r="M50" i="7" s="1"/>
  <c r="E47" i="8" s="1"/>
  <c r="K42" i="7"/>
  <c r="M42" i="7" s="1"/>
  <c r="E40" i="8" s="1"/>
  <c r="K34" i="7"/>
  <c r="M34" i="7" s="1"/>
  <c r="E36" i="8" s="1"/>
  <c r="K26" i="7"/>
  <c r="M26" i="7" s="1"/>
  <c r="E28" i="8" s="1"/>
  <c r="K18" i="7"/>
  <c r="M18" i="7" s="1"/>
  <c r="E21" i="8" s="1"/>
  <c r="K10" i="7"/>
  <c r="M10" i="7" s="1"/>
  <c r="E14" i="8" s="1"/>
  <c r="K113" i="7"/>
  <c r="M113" i="7" s="1"/>
  <c r="E102" i="8" s="1"/>
  <c r="K101" i="7"/>
  <c r="M101" i="7" s="1"/>
  <c r="E92" i="8" s="1"/>
  <c r="K93" i="7"/>
  <c r="M93" i="7" s="1"/>
  <c r="E85" i="8" s="1"/>
  <c r="K45" i="7"/>
  <c r="M45" i="7" s="1"/>
  <c r="E43" i="8" s="1"/>
  <c r="K21" i="7"/>
  <c r="M21" i="7" s="1"/>
  <c r="E24" i="8" s="1"/>
  <c r="K13" i="7"/>
  <c r="M13" i="7" s="1"/>
  <c r="E16" i="8" s="1"/>
  <c r="K104" i="7"/>
  <c r="M104" i="7" s="1"/>
  <c r="E95" i="8" s="1"/>
  <c r="K96" i="7"/>
  <c r="M96" i="7" s="1"/>
  <c r="E88" i="8" s="1"/>
  <c r="K88" i="7"/>
  <c r="M88" i="7" s="1"/>
  <c r="E80" i="8" s="1"/>
  <c r="K80" i="7"/>
  <c r="M80" i="7" s="1"/>
  <c r="E74" i="8" s="1"/>
  <c r="K68" i="7"/>
  <c r="M68" i="7" s="1"/>
  <c r="E63" i="8" s="1"/>
  <c r="K56" i="7"/>
  <c r="M56" i="7" s="1"/>
  <c r="E53" i="8" s="1"/>
  <c r="K48" i="7"/>
  <c r="M48" i="7" s="1"/>
  <c r="E45" i="8" s="1"/>
  <c r="K36" i="7"/>
  <c r="M36" i="7" s="1"/>
  <c r="E38" i="8" s="1"/>
  <c r="K28" i="7"/>
  <c r="M28" i="7" s="1"/>
  <c r="E30" i="8" s="1"/>
  <c r="K20" i="7"/>
  <c r="M20" i="7" s="1"/>
  <c r="E23" i="8" s="1"/>
  <c r="K12" i="7"/>
  <c r="M12" i="7" s="1"/>
  <c r="E15" i="8" s="1"/>
  <c r="K115" i="7"/>
  <c r="M115" i="7" s="1"/>
  <c r="E104" i="8" s="1"/>
  <c r="K103" i="7"/>
  <c r="M103" i="7" s="1"/>
  <c r="E94" i="8" s="1"/>
  <c r="K95" i="7"/>
  <c r="M95" i="7" s="1"/>
  <c r="E87" i="8" s="1"/>
  <c r="K87" i="7"/>
  <c r="M87" i="7" s="1"/>
  <c r="E79" i="8" s="1"/>
  <c r="K79" i="7"/>
  <c r="M79" i="7" s="1"/>
  <c r="E73" i="8" s="1"/>
  <c r="K71" i="7"/>
  <c r="M71" i="7" s="1"/>
  <c r="E66" i="8" s="1"/>
  <c r="K63" i="7"/>
  <c r="M63" i="7" s="1"/>
  <c r="E58" i="8" s="1"/>
  <c r="K55" i="7"/>
  <c r="M55" i="7" s="1"/>
  <c r="E52" i="8" s="1"/>
  <c r="K43" i="7"/>
  <c r="M43" i="7" s="1"/>
  <c r="E41" i="8" s="1"/>
  <c r="K31" i="7"/>
  <c r="M31" i="7" s="1"/>
  <c r="E33" i="8" s="1"/>
  <c r="K23" i="7"/>
  <c r="M23" i="7" s="1"/>
  <c r="E26" i="8" s="1"/>
  <c r="K15" i="7"/>
  <c r="M15" i="7" s="1"/>
  <c r="E18" i="8" s="1"/>
  <c r="K109" i="7"/>
  <c r="M109" i="7" s="1"/>
  <c r="E98" i="8" s="1"/>
  <c r="K81" i="7"/>
  <c r="M81" i="7" s="1"/>
  <c r="E75" i="8" s="1"/>
  <c r="K69" i="7"/>
  <c r="M69" i="7" s="1"/>
  <c r="E64" i="8" s="1"/>
  <c r="K57" i="7"/>
  <c r="M57" i="7" s="1"/>
  <c r="E54" i="8" s="1"/>
  <c r="K49" i="7"/>
  <c r="M49" i="7" s="1"/>
  <c r="E46" i="8" s="1"/>
  <c r="K9" i="7"/>
  <c r="M9" i="7" s="1"/>
  <c r="E13" i="8" s="1"/>
  <c r="K118" i="7"/>
  <c r="M118" i="7" s="1"/>
  <c r="E107" i="8" s="1"/>
  <c r="K110" i="7"/>
  <c r="M110" i="7" s="1"/>
  <c r="E99" i="8" s="1"/>
  <c r="K102" i="7"/>
  <c r="M102" i="7" s="1"/>
  <c r="E93" i="8" s="1"/>
  <c r="K90" i="7"/>
  <c r="M90" i="7" s="1"/>
  <c r="E82" i="8" s="1"/>
  <c r="K78" i="7"/>
  <c r="M78" i="7" s="1"/>
  <c r="E72" i="8" s="1"/>
  <c r="K70" i="7"/>
  <c r="M70" i="7" s="1"/>
  <c r="E65" i="8" s="1"/>
  <c r="K62" i="7"/>
  <c r="M62" i="7" s="1"/>
  <c r="E57" i="8" s="1"/>
  <c r="K54" i="7"/>
  <c r="M54" i="7" s="1"/>
  <c r="E51" i="8" s="1"/>
  <c r="K46" i="7"/>
  <c r="M46" i="7" s="1"/>
  <c r="E44" i="8" s="1"/>
  <c r="K38" i="7"/>
  <c r="M38" i="7" s="1"/>
  <c r="E39" i="8" s="1"/>
  <c r="K30" i="7"/>
  <c r="M30" i="7" s="1"/>
  <c r="E32" i="8" s="1"/>
  <c r="K22" i="7"/>
  <c r="M22" i="7" s="1"/>
  <c r="E25" i="8" s="1"/>
  <c r="K14" i="7"/>
  <c r="M14" i="7" s="1"/>
  <c r="E17" i="8" s="1"/>
  <c r="K117" i="7"/>
  <c r="M117" i="7" s="1"/>
  <c r="E106" i="8" s="1"/>
  <c r="K105" i="7"/>
  <c r="M105" i="7" s="1"/>
  <c r="E96" i="8" s="1"/>
  <c r="K97" i="7"/>
  <c r="M97" i="7" s="1"/>
  <c r="E89" i="8" s="1"/>
  <c r="K73" i="7"/>
  <c r="M73" i="7" s="1"/>
  <c r="E67" i="8" s="1"/>
  <c r="K29" i="7"/>
  <c r="M29" i="7" s="1"/>
  <c r="E31" i="8" s="1"/>
  <c r="K17" i="7"/>
  <c r="M17" i="7" s="1"/>
  <c r="E20" i="8" s="1"/>
  <c r="K112" i="7"/>
  <c r="M112" i="7" s="1"/>
  <c r="E101" i="8" s="1"/>
  <c r="K100" i="7"/>
  <c r="M100" i="7" s="1"/>
  <c r="E91" i="8" s="1"/>
  <c r="K92" i="7"/>
  <c r="M92" i="7" s="1"/>
  <c r="E84" i="8" s="1"/>
  <c r="K84" i="7"/>
  <c r="M84" i="7" s="1"/>
  <c r="E78" i="8" s="1"/>
  <c r="K76" i="7"/>
  <c r="M76" i="7" s="1"/>
  <c r="E70" i="8" s="1"/>
  <c r="K64" i="7"/>
  <c r="M64" i="7" s="1"/>
  <c r="E59" i="8" s="1"/>
  <c r="K52" i="7"/>
  <c r="M52" i="7" s="1"/>
  <c r="E49" i="8" s="1"/>
  <c r="K44" i="7"/>
  <c r="M44" i="7" s="1"/>
  <c r="E42" i="8" s="1"/>
  <c r="K32" i="7"/>
  <c r="M32" i="7" s="1"/>
  <c r="E34" i="8" s="1"/>
  <c r="K24" i="7"/>
  <c r="M24" i="7" s="1"/>
  <c r="E27" i="8" s="1"/>
  <c r="K16" i="7"/>
  <c r="M16" i="7" s="1"/>
  <c r="E19" i="8" s="1"/>
  <c r="K8" i="7"/>
  <c r="M8" i="7" s="1"/>
  <c r="C18" i="1" l="1"/>
  <c r="C17" i="1"/>
  <c r="C19" i="1"/>
  <c r="E12" i="8"/>
  <c r="E4" i="9"/>
  <c r="D19" i="1" l="1"/>
  <c r="F19" i="1" s="1"/>
  <c r="E19" i="1"/>
  <c r="G19" i="1" s="1"/>
  <c r="E17" i="1"/>
  <c r="G17" i="1" s="1"/>
  <c r="D17" i="1"/>
  <c r="D18" i="1"/>
  <c r="F18" i="1" s="1"/>
  <c r="E18" i="1"/>
  <c r="G18" i="1" s="1"/>
  <c r="C20" i="1"/>
  <c r="D4" i="9"/>
  <c r="G4" i="9" s="1"/>
  <c r="F10" i="8" s="1"/>
  <c r="D10" i="8" s="1"/>
  <c r="G36" i="9"/>
  <c r="F54" i="8" s="1"/>
  <c r="D54" i="8" s="1"/>
  <c r="D81" i="1" s="1"/>
  <c r="E11" i="8"/>
  <c r="G43" i="9" l="1"/>
  <c r="F48" i="8" s="1"/>
  <c r="D48" i="8" s="1"/>
  <c r="D75" i="1" s="1"/>
  <c r="G81" i="9"/>
  <c r="F18" i="8" s="1"/>
  <c r="D18" i="8" s="1"/>
  <c r="D45" i="1" s="1"/>
  <c r="G89" i="9"/>
  <c r="F72" i="8" s="1"/>
  <c r="D72" i="8" s="1"/>
  <c r="D99" i="1" s="1"/>
  <c r="G37" i="9"/>
  <c r="F96" i="8" s="1"/>
  <c r="D96" i="8" s="1"/>
  <c r="D123" i="1" s="1"/>
  <c r="F17" i="1"/>
  <c r="H17" i="1" s="1"/>
  <c r="E23" i="4"/>
  <c r="C27" i="4"/>
  <c r="C25" i="4"/>
  <c r="D25" i="4"/>
  <c r="D29" i="4"/>
  <c r="D27" i="4"/>
  <c r="D28" i="4"/>
  <c r="D26" i="4"/>
  <c r="D30" i="4"/>
  <c r="D23" i="4"/>
  <c r="D24" i="4"/>
  <c r="E25" i="4"/>
  <c r="E29" i="4"/>
  <c r="E28" i="4"/>
  <c r="E26" i="4"/>
  <c r="E30" i="4"/>
  <c r="E27" i="4"/>
  <c r="E24" i="4"/>
  <c r="D20" i="1"/>
  <c r="G20" i="1"/>
  <c r="E20" i="1"/>
  <c r="H18" i="1"/>
  <c r="H19" i="1"/>
  <c r="G27" i="9"/>
  <c r="F98" i="8" s="1"/>
  <c r="D98" i="8" s="1"/>
  <c r="D125" i="1" s="1"/>
  <c r="G34" i="9"/>
  <c r="F37" i="8" s="1"/>
  <c r="D37" i="8" s="1"/>
  <c r="D64" i="1" s="1"/>
  <c r="G26" i="9"/>
  <c r="F50" i="8" s="1"/>
  <c r="D50" i="8" s="1"/>
  <c r="D77" i="1" s="1"/>
  <c r="G14" i="9"/>
  <c r="F45" i="8" s="1"/>
  <c r="D45" i="8" s="1"/>
  <c r="D72" i="1" s="1"/>
  <c r="G23" i="9"/>
  <c r="F12" i="8" s="1"/>
  <c r="D12" i="8" s="1"/>
  <c r="D39" i="1" s="1"/>
  <c r="G82" i="9"/>
  <c r="F68" i="8" s="1"/>
  <c r="D68" i="8" s="1"/>
  <c r="D95" i="1" s="1"/>
  <c r="G17" i="9"/>
  <c r="F83" i="8" s="1"/>
  <c r="D83" i="8" s="1"/>
  <c r="D110" i="1" s="1"/>
  <c r="G61" i="9"/>
  <c r="F43" i="8" s="1"/>
  <c r="D43" i="8" s="1"/>
  <c r="D70" i="1" s="1"/>
  <c r="G101" i="9"/>
  <c r="F16" i="8" s="1"/>
  <c r="D16" i="8" s="1"/>
  <c r="D43" i="1" s="1"/>
  <c r="G7" i="9"/>
  <c r="F29" i="8" s="1"/>
  <c r="D29" i="8" s="1"/>
  <c r="D56" i="1" s="1"/>
  <c r="G20" i="9"/>
  <c r="F69" i="8" s="1"/>
  <c r="D69" i="8" s="1"/>
  <c r="D96" i="1" s="1"/>
  <c r="G29" i="9"/>
  <c r="F57" i="8" s="1"/>
  <c r="D57" i="8" s="1"/>
  <c r="D84" i="1" s="1"/>
  <c r="G59" i="9"/>
  <c r="F77" i="8" s="1"/>
  <c r="D77" i="8" s="1"/>
  <c r="D104" i="1" s="1"/>
  <c r="G86" i="9"/>
  <c r="F92" i="8" s="1"/>
  <c r="D92" i="8" s="1"/>
  <c r="D119" i="1" s="1"/>
  <c r="G94" i="9"/>
  <c r="F14" i="8" s="1"/>
  <c r="D14" i="8" s="1"/>
  <c r="D41" i="1" s="1"/>
  <c r="G46" i="9"/>
  <c r="F84" i="8" s="1"/>
  <c r="D84" i="8" s="1"/>
  <c r="D111" i="1" s="1"/>
  <c r="G53" i="9"/>
  <c r="F53" i="8" s="1"/>
  <c r="D53" i="8" s="1"/>
  <c r="D80" i="1" s="1"/>
  <c r="G41" i="9"/>
  <c r="F24" i="8" s="1"/>
  <c r="D24" i="8" s="1"/>
  <c r="D51" i="1" s="1"/>
  <c r="G13" i="9"/>
  <c r="F27" i="8" s="1"/>
  <c r="D27" i="8" s="1"/>
  <c r="D54" i="1" s="1"/>
  <c r="G102" i="9"/>
  <c r="F20" i="8" s="1"/>
  <c r="D20" i="8" s="1"/>
  <c r="D47" i="1" s="1"/>
  <c r="G83" i="9"/>
  <c r="F108" i="8" s="1"/>
  <c r="D108" i="8" s="1"/>
  <c r="D135" i="1" s="1"/>
  <c r="G69" i="9"/>
  <c r="F104" i="8" s="1"/>
  <c r="D104" i="8" s="1"/>
  <c r="D131" i="1" s="1"/>
  <c r="G57" i="9"/>
  <c r="F93" i="8" s="1"/>
  <c r="D93" i="8" s="1"/>
  <c r="D120" i="1" s="1"/>
  <c r="G75" i="9"/>
  <c r="F106" i="8" s="1"/>
  <c r="D106" i="8" s="1"/>
  <c r="D133" i="1" s="1"/>
  <c r="G55" i="9"/>
  <c r="F76" i="8" s="1"/>
  <c r="D76" i="8" s="1"/>
  <c r="D103" i="1" s="1"/>
  <c r="G16" i="9"/>
  <c r="F62" i="8" s="1"/>
  <c r="D62" i="8" s="1"/>
  <c r="D89" i="1" s="1"/>
  <c r="G54" i="9"/>
  <c r="F74" i="8" s="1"/>
  <c r="D74" i="8" s="1"/>
  <c r="D101" i="1" s="1"/>
  <c r="G91" i="9"/>
  <c r="F36" i="8" s="1"/>
  <c r="D36" i="8" s="1"/>
  <c r="D63" i="1" s="1"/>
  <c r="G67" i="9"/>
  <c r="F39" i="8" s="1"/>
  <c r="D39" i="8" s="1"/>
  <c r="D66" i="1" s="1"/>
  <c r="G68" i="9"/>
  <c r="F73" i="8" s="1"/>
  <c r="D73" i="8" s="1"/>
  <c r="D100" i="1" s="1"/>
  <c r="G56" i="9"/>
  <c r="F61" i="8" s="1"/>
  <c r="D61" i="8" s="1"/>
  <c r="D88" i="1" s="1"/>
  <c r="G15" i="9"/>
  <c r="F32" i="8" s="1"/>
  <c r="D32" i="8" s="1"/>
  <c r="D59" i="1" s="1"/>
  <c r="G9" i="9"/>
  <c r="F42" i="8" s="1"/>
  <c r="D42" i="8" s="1"/>
  <c r="D69" i="1" s="1"/>
  <c r="G87" i="9"/>
  <c r="F22" i="8" s="1"/>
  <c r="D22" i="8" s="1"/>
  <c r="D49" i="1" s="1"/>
  <c r="G93" i="9"/>
  <c r="F19" i="8" s="1"/>
  <c r="D19" i="8" s="1"/>
  <c r="D46" i="1" s="1"/>
  <c r="G95" i="9"/>
  <c r="F25" i="8" s="1"/>
  <c r="D25" i="8" s="1"/>
  <c r="D52" i="1" s="1"/>
  <c r="G65" i="9"/>
  <c r="F81" i="8" s="1"/>
  <c r="D81" i="8" s="1"/>
  <c r="D108" i="1" s="1"/>
  <c r="G96" i="9"/>
  <c r="F67" i="8" s="1"/>
  <c r="D67" i="8" s="1"/>
  <c r="D94" i="1" s="1"/>
  <c r="G21" i="9"/>
  <c r="F40" i="8" s="1"/>
  <c r="D40" i="8" s="1"/>
  <c r="D67" i="1" s="1"/>
  <c r="G92" i="9"/>
  <c r="F11" i="8" s="1"/>
  <c r="D11" i="8" s="1"/>
  <c r="G33" i="9"/>
  <c r="F101" i="8" s="1"/>
  <c r="D101" i="8" s="1"/>
  <c r="D128" i="1" s="1"/>
  <c r="G66" i="9"/>
  <c r="F85" i="8" s="1"/>
  <c r="D85" i="8" s="1"/>
  <c r="D112" i="1" s="1"/>
  <c r="G19" i="9"/>
  <c r="F31" i="8" s="1"/>
  <c r="D31" i="8" s="1"/>
  <c r="D58" i="1" s="1"/>
  <c r="G77" i="9"/>
  <c r="F90" i="8" s="1"/>
  <c r="D90" i="8" s="1"/>
  <c r="D117" i="1" s="1"/>
  <c r="G88" i="9"/>
  <c r="F70" i="8" s="1"/>
  <c r="D70" i="8" s="1"/>
  <c r="D97" i="1" s="1"/>
  <c r="G52" i="9"/>
  <c r="F66" i="8" s="1"/>
  <c r="D66" i="8" s="1"/>
  <c r="D93" i="1" s="1"/>
  <c r="G12" i="9"/>
  <c r="F30" i="8" s="1"/>
  <c r="D30" i="8" s="1"/>
  <c r="D57" i="1" s="1"/>
  <c r="G48" i="9"/>
  <c r="F59" i="8" s="1"/>
  <c r="D59" i="8" s="1"/>
  <c r="D86" i="1" s="1"/>
  <c r="G31" i="9"/>
  <c r="F58" i="8" s="1"/>
  <c r="D58" i="8" s="1"/>
  <c r="D85" i="1" s="1"/>
  <c r="G70" i="9"/>
  <c r="F49" i="8" s="1"/>
  <c r="D49" i="8" s="1"/>
  <c r="D76" i="1" s="1"/>
  <c r="G18" i="9"/>
  <c r="F88" i="8" s="1"/>
  <c r="D88" i="8" s="1"/>
  <c r="D115" i="1" s="1"/>
  <c r="G64" i="9"/>
  <c r="F100" i="8" s="1"/>
  <c r="D100" i="8" s="1"/>
  <c r="D127" i="1" s="1"/>
  <c r="G10" i="9"/>
  <c r="F34" i="8" s="1"/>
  <c r="D34" i="8" s="1"/>
  <c r="D61" i="1" s="1"/>
  <c r="G44" i="9"/>
  <c r="F80" i="8" s="1"/>
  <c r="D80" i="8" s="1"/>
  <c r="D107" i="1" s="1"/>
  <c r="G79" i="9"/>
  <c r="F91" i="8" s="1"/>
  <c r="D91" i="8" s="1"/>
  <c r="D118" i="1" s="1"/>
  <c r="G62" i="9"/>
  <c r="F95" i="8" s="1"/>
  <c r="D95" i="8" s="1"/>
  <c r="D122" i="1" s="1"/>
  <c r="G98" i="9"/>
  <c r="F17" i="8" s="1"/>
  <c r="D17" i="8" s="1"/>
  <c r="D44" i="1" s="1"/>
  <c r="G80" i="9"/>
  <c r="F78" i="8" s="1"/>
  <c r="D78" i="8" s="1"/>
  <c r="D105" i="1" s="1"/>
  <c r="G11" i="9"/>
  <c r="F33" i="8" s="1"/>
  <c r="D33" i="8" s="1"/>
  <c r="D60" i="1" s="1"/>
  <c r="G35" i="9"/>
  <c r="F47" i="8" s="1"/>
  <c r="D47" i="8" s="1"/>
  <c r="D74" i="1" s="1"/>
  <c r="G99" i="9"/>
  <c r="F15" i="8" s="1"/>
  <c r="D15" i="8" s="1"/>
  <c r="D42" i="1" s="1"/>
  <c r="G90" i="9"/>
  <c r="F89" i="8" s="1"/>
  <c r="D89" i="8" s="1"/>
  <c r="D116" i="1" s="1"/>
  <c r="G97" i="9"/>
  <c r="F23" i="8" s="1"/>
  <c r="D23" i="8" s="1"/>
  <c r="D50" i="1" s="1"/>
  <c r="G22" i="9"/>
  <c r="F105" i="8" s="1"/>
  <c r="D105" i="8" s="1"/>
  <c r="D132" i="1" s="1"/>
  <c r="G45" i="9"/>
  <c r="F26" i="8" s="1"/>
  <c r="D26" i="8" s="1"/>
  <c r="D53" i="1" s="1"/>
  <c r="G42" i="9"/>
  <c r="F60" i="8" s="1"/>
  <c r="D60" i="8" s="1"/>
  <c r="D87" i="1" s="1"/>
  <c r="G40" i="9"/>
  <c r="F75" i="8" s="1"/>
  <c r="D75" i="8" s="1"/>
  <c r="D102" i="1" s="1"/>
  <c r="G50" i="9"/>
  <c r="F65" i="8" s="1"/>
  <c r="D65" i="8" s="1"/>
  <c r="D92" i="1" s="1"/>
  <c r="G58" i="9"/>
  <c r="F52" i="8" s="1"/>
  <c r="D52" i="8" s="1"/>
  <c r="D79" i="1" s="1"/>
  <c r="G24" i="9"/>
  <c r="F35" i="8" s="1"/>
  <c r="D35" i="8" s="1"/>
  <c r="D62" i="1" s="1"/>
  <c r="G49" i="9"/>
  <c r="F71" i="8" s="1"/>
  <c r="D71" i="8" s="1"/>
  <c r="D98" i="1" s="1"/>
  <c r="G74" i="9"/>
  <c r="F102" i="8" s="1"/>
  <c r="D102" i="8" s="1"/>
  <c r="D129" i="1" s="1"/>
  <c r="G32" i="9"/>
  <c r="F56" i="8" s="1"/>
  <c r="D56" i="8" s="1"/>
  <c r="D83" i="1" s="1"/>
  <c r="G76" i="9"/>
  <c r="F97" i="8" s="1"/>
  <c r="D97" i="8" s="1"/>
  <c r="D124" i="1" s="1"/>
  <c r="G30" i="9"/>
  <c r="F63" i="8" s="1"/>
  <c r="D63" i="8" s="1"/>
  <c r="D90" i="1" s="1"/>
  <c r="G78" i="9"/>
  <c r="F94" i="8" s="1"/>
  <c r="D94" i="8" s="1"/>
  <c r="D121" i="1" s="1"/>
  <c r="G100" i="9"/>
  <c r="F21" i="8" s="1"/>
  <c r="D21" i="8" s="1"/>
  <c r="D48" i="1" s="1"/>
  <c r="G38" i="9"/>
  <c r="F86" i="8" s="1"/>
  <c r="D86" i="8" s="1"/>
  <c r="D113" i="1" s="1"/>
  <c r="G85" i="9"/>
  <c r="F28" i="8" s="1"/>
  <c r="D28" i="8" s="1"/>
  <c r="D55" i="1" s="1"/>
  <c r="G39" i="9"/>
  <c r="F87" i="8" s="1"/>
  <c r="D87" i="8" s="1"/>
  <c r="D114" i="1" s="1"/>
  <c r="G6" i="9"/>
  <c r="F44" i="8" s="1"/>
  <c r="D44" i="8" s="1"/>
  <c r="D71" i="1" s="1"/>
  <c r="G84" i="9"/>
  <c r="F64" i="8" s="1"/>
  <c r="D64" i="8" s="1"/>
  <c r="D91" i="1" s="1"/>
  <c r="G63" i="9"/>
  <c r="F107" i="8" s="1"/>
  <c r="D107" i="8" s="1"/>
  <c r="D134" i="1" s="1"/>
  <c r="G71" i="9"/>
  <c r="F38" i="8" s="1"/>
  <c r="D38" i="8" s="1"/>
  <c r="D65" i="1" s="1"/>
  <c r="G5" i="9"/>
  <c r="F13" i="8" s="1"/>
  <c r="D13" i="8" s="1"/>
  <c r="D40" i="1" s="1"/>
  <c r="G47" i="9"/>
  <c r="F46" i="8" s="1"/>
  <c r="D46" i="8" s="1"/>
  <c r="D73" i="1" s="1"/>
  <c r="G60" i="9"/>
  <c r="F41" i="8" s="1"/>
  <c r="D41" i="8" s="1"/>
  <c r="D68" i="1" s="1"/>
  <c r="G25" i="9"/>
  <c r="F79" i="8" s="1"/>
  <c r="D79" i="8" s="1"/>
  <c r="D106" i="1" s="1"/>
  <c r="G8" i="9"/>
  <c r="F55" i="8" s="1"/>
  <c r="D55" i="8" s="1"/>
  <c r="D82" i="1" s="1"/>
  <c r="G72" i="9"/>
  <c r="F99" i="8" s="1"/>
  <c r="D99" i="8" s="1"/>
  <c r="D126" i="1" s="1"/>
  <c r="G51" i="9"/>
  <c r="F82" i="8" s="1"/>
  <c r="D82" i="8" s="1"/>
  <c r="D109" i="1" s="1"/>
  <c r="G28" i="9"/>
  <c r="F51" i="8" s="1"/>
  <c r="D51" i="8" s="1"/>
  <c r="D78" i="1" s="1"/>
  <c r="G73" i="9"/>
  <c r="F103" i="8" s="1"/>
  <c r="D103" i="8" s="1"/>
  <c r="D130" i="1" s="1"/>
  <c r="C26" i="4" l="1"/>
  <c r="C30" i="4"/>
  <c r="J8" i="11" s="1"/>
  <c r="C24" i="4"/>
  <c r="D8" i="11" s="1"/>
  <c r="C29" i="4"/>
  <c r="I8" i="11" s="1"/>
  <c r="C28" i="4"/>
  <c r="I28" i="4" s="1"/>
  <c r="C23" i="4"/>
  <c r="C8" i="11" s="1"/>
  <c r="E8" i="11"/>
  <c r="I25" i="4"/>
  <c r="G8" i="11"/>
  <c r="I27" i="4"/>
  <c r="F8" i="11"/>
  <c r="I26" i="4"/>
  <c r="H20" i="1"/>
  <c r="H24" i="1" s="1"/>
  <c r="F20" i="1"/>
  <c r="D38" i="1"/>
  <c r="I30" i="4" l="1"/>
  <c r="I24" i="4"/>
  <c r="I29" i="4"/>
  <c r="I23" i="4"/>
  <c r="H8" i="11"/>
  <c r="E80" i="11" s="1"/>
  <c r="E41" i="1"/>
  <c r="G41" i="1" s="1"/>
  <c r="E82" i="1"/>
  <c r="G82" i="1" s="1"/>
  <c r="E97" i="1"/>
  <c r="G97" i="1" s="1"/>
  <c r="E105" i="1"/>
  <c r="G105" i="1" s="1"/>
  <c r="E113" i="1"/>
  <c r="G113" i="1" s="1"/>
  <c r="E121" i="1"/>
  <c r="G121" i="1" s="1"/>
  <c r="E129" i="1"/>
  <c r="G129" i="1" s="1"/>
  <c r="E114" i="1"/>
  <c r="G114" i="1" s="1"/>
  <c r="E130" i="1"/>
  <c r="G130" i="1" s="1"/>
  <c r="E90" i="1"/>
  <c r="G90" i="1" s="1"/>
  <c r="E101" i="1"/>
  <c r="G101" i="1" s="1"/>
  <c r="E109" i="1"/>
  <c r="G109" i="1" s="1"/>
  <c r="E117" i="1"/>
  <c r="G117" i="1" s="1"/>
  <c r="E125" i="1"/>
  <c r="G125" i="1" s="1"/>
  <c r="E133" i="1"/>
  <c r="G133" i="1" s="1"/>
  <c r="E94" i="1"/>
  <c r="G94" i="1" s="1"/>
  <c r="E102" i="1"/>
  <c r="G102" i="1" s="1"/>
  <c r="E110" i="1"/>
  <c r="G110" i="1" s="1"/>
  <c r="E118" i="1"/>
  <c r="G118" i="1" s="1"/>
  <c r="E126" i="1"/>
  <c r="G126" i="1" s="1"/>
  <c r="E134" i="1"/>
  <c r="G134" i="1" s="1"/>
  <c r="E86" i="1"/>
  <c r="G86" i="1" s="1"/>
  <c r="E98" i="1"/>
  <c r="G98" i="1" s="1"/>
  <c r="E106" i="1"/>
  <c r="G106" i="1" s="1"/>
  <c r="E122" i="1"/>
  <c r="G122" i="1" s="1"/>
  <c r="E132" i="1"/>
  <c r="G132" i="1" s="1"/>
  <c r="E128" i="1"/>
  <c r="G128" i="1" s="1"/>
  <c r="E124" i="1"/>
  <c r="G124" i="1" s="1"/>
  <c r="E120" i="1"/>
  <c r="G120" i="1" s="1"/>
  <c r="E116" i="1"/>
  <c r="G116" i="1" s="1"/>
  <c r="E112" i="1"/>
  <c r="G112" i="1" s="1"/>
  <c r="E108" i="1"/>
  <c r="G108" i="1" s="1"/>
  <c r="E104" i="1"/>
  <c r="G104" i="1" s="1"/>
  <c r="E100" i="1"/>
  <c r="G100" i="1" s="1"/>
  <c r="E96" i="1"/>
  <c r="G96" i="1" s="1"/>
  <c r="E92" i="1"/>
  <c r="G92" i="1" s="1"/>
  <c r="E88" i="1"/>
  <c r="G88" i="1" s="1"/>
  <c r="E84" i="1"/>
  <c r="G84" i="1" s="1"/>
  <c r="E80" i="1"/>
  <c r="G80" i="1" s="1"/>
  <c r="E76" i="1"/>
  <c r="G76" i="1" s="1"/>
  <c r="E72" i="1"/>
  <c r="G72" i="1" s="1"/>
  <c r="E68" i="1"/>
  <c r="G68" i="1" s="1"/>
  <c r="E64" i="1"/>
  <c r="G64" i="1" s="1"/>
  <c r="E60" i="1"/>
  <c r="G60" i="1" s="1"/>
  <c r="E56" i="1"/>
  <c r="G56" i="1" s="1"/>
  <c r="E52" i="1"/>
  <c r="G52" i="1" s="1"/>
  <c r="E48" i="1"/>
  <c r="G48" i="1" s="1"/>
  <c r="E44" i="1"/>
  <c r="G44" i="1" s="1"/>
  <c r="E40" i="1"/>
  <c r="G40" i="1" s="1"/>
  <c r="E89" i="1"/>
  <c r="G89" i="1" s="1"/>
  <c r="E81" i="1"/>
  <c r="G81" i="1" s="1"/>
  <c r="E73" i="1"/>
  <c r="G73" i="1" s="1"/>
  <c r="E65" i="1"/>
  <c r="G65" i="1" s="1"/>
  <c r="E57" i="1"/>
  <c r="G57" i="1" s="1"/>
  <c r="E45" i="1"/>
  <c r="G45" i="1" s="1"/>
  <c r="E135" i="1"/>
  <c r="G135" i="1" s="1"/>
  <c r="E131" i="1"/>
  <c r="G131" i="1" s="1"/>
  <c r="E127" i="1"/>
  <c r="G127" i="1" s="1"/>
  <c r="E123" i="1"/>
  <c r="G123" i="1" s="1"/>
  <c r="E119" i="1"/>
  <c r="G119" i="1" s="1"/>
  <c r="E115" i="1"/>
  <c r="G115" i="1" s="1"/>
  <c r="E111" i="1"/>
  <c r="G111" i="1" s="1"/>
  <c r="E107" i="1"/>
  <c r="G107" i="1" s="1"/>
  <c r="E103" i="1"/>
  <c r="G103" i="1" s="1"/>
  <c r="E99" i="1"/>
  <c r="G99" i="1" s="1"/>
  <c r="E95" i="1"/>
  <c r="G95" i="1" s="1"/>
  <c r="E91" i="1"/>
  <c r="G91" i="1" s="1"/>
  <c r="E87" i="1"/>
  <c r="G87" i="1" s="1"/>
  <c r="E83" i="1"/>
  <c r="G83" i="1" s="1"/>
  <c r="E79" i="1"/>
  <c r="G79" i="1" s="1"/>
  <c r="E75" i="1"/>
  <c r="G75" i="1" s="1"/>
  <c r="E71" i="1"/>
  <c r="G71" i="1" s="1"/>
  <c r="E67" i="1"/>
  <c r="G67" i="1" s="1"/>
  <c r="E63" i="1"/>
  <c r="G63" i="1" s="1"/>
  <c r="E59" i="1"/>
  <c r="G59" i="1" s="1"/>
  <c r="E55" i="1"/>
  <c r="G55" i="1" s="1"/>
  <c r="E51" i="1"/>
  <c r="G51" i="1" s="1"/>
  <c r="E47" i="1"/>
  <c r="G47" i="1" s="1"/>
  <c r="E43" i="1"/>
  <c r="G43" i="1" s="1"/>
  <c r="E38" i="1"/>
  <c r="G38" i="1" s="1"/>
  <c r="E78" i="1"/>
  <c r="G78" i="1" s="1"/>
  <c r="E74" i="1"/>
  <c r="G74" i="1" s="1"/>
  <c r="E70" i="1"/>
  <c r="G70" i="1" s="1"/>
  <c r="E66" i="1"/>
  <c r="G66" i="1" s="1"/>
  <c r="E62" i="1"/>
  <c r="G62" i="1" s="1"/>
  <c r="E58" i="1"/>
  <c r="G58" i="1" s="1"/>
  <c r="E54" i="1"/>
  <c r="G54" i="1" s="1"/>
  <c r="E50" i="1"/>
  <c r="G50" i="1" s="1"/>
  <c r="E46" i="1"/>
  <c r="G46" i="1" s="1"/>
  <c r="E42" i="1"/>
  <c r="G42" i="1" s="1"/>
  <c r="E39" i="1"/>
  <c r="G39" i="1" s="1"/>
  <c r="E93" i="1"/>
  <c r="G93" i="1" s="1"/>
  <c r="E85" i="1"/>
  <c r="G85" i="1" s="1"/>
  <c r="E77" i="1"/>
  <c r="G77" i="1" s="1"/>
  <c r="E69" i="1"/>
  <c r="G69" i="1" s="1"/>
  <c r="E61" i="1"/>
  <c r="G61" i="1" s="1"/>
  <c r="E53" i="1"/>
  <c r="G53" i="1" s="1"/>
  <c r="E49" i="1"/>
  <c r="G49" i="1" s="1"/>
  <c r="E41" i="11"/>
  <c r="E37" i="11"/>
  <c r="E33" i="11"/>
  <c r="E36" i="11"/>
  <c r="E42" i="11"/>
  <c r="E38" i="11"/>
  <c r="E34" i="11"/>
  <c r="E39" i="11"/>
  <c r="E35" i="11"/>
  <c r="E40" i="11"/>
  <c r="D12" i="11"/>
  <c r="E77" i="11"/>
  <c r="E78" i="11"/>
  <c r="H12" i="11"/>
  <c r="E63" i="11"/>
  <c r="E59" i="11"/>
  <c r="E55" i="11"/>
  <c r="E58" i="11"/>
  <c r="E64" i="11"/>
  <c r="E60" i="11"/>
  <c r="E56" i="11"/>
  <c r="E61" i="11"/>
  <c r="E57" i="11"/>
  <c r="E62" i="11"/>
  <c r="F12" i="11"/>
  <c r="E67" i="11"/>
  <c r="E68" i="11"/>
  <c r="E73" i="11"/>
  <c r="E69" i="11"/>
  <c r="E72" i="11"/>
  <c r="E66" i="11"/>
  <c r="E74" i="11"/>
  <c r="E70" i="11"/>
  <c r="E75" i="11"/>
  <c r="E71" i="11"/>
  <c r="G12" i="11"/>
  <c r="E45" i="11"/>
  <c r="E50" i="11"/>
  <c r="E46" i="11"/>
  <c r="E51" i="11"/>
  <c r="E47" i="11"/>
  <c r="E44" i="11"/>
  <c r="E52" i="11"/>
  <c r="E48" i="11"/>
  <c r="E53" i="11"/>
  <c r="E49" i="11"/>
  <c r="E12" i="11"/>
  <c r="E89" i="11"/>
  <c r="E94" i="11"/>
  <c r="E90" i="11"/>
  <c r="E95" i="11"/>
  <c r="E91" i="11"/>
  <c r="E88" i="11"/>
  <c r="E96" i="11"/>
  <c r="E92" i="11"/>
  <c r="E97" i="11"/>
  <c r="E93" i="11"/>
  <c r="I12" i="11"/>
  <c r="E107" i="11"/>
  <c r="E104" i="11"/>
  <c r="E103" i="11"/>
  <c r="E100" i="11"/>
  <c r="E108" i="11"/>
  <c r="E105" i="11"/>
  <c r="E101" i="11"/>
  <c r="E106" i="11"/>
  <c r="E102" i="11"/>
  <c r="E99" i="11"/>
  <c r="J12" i="11"/>
  <c r="E23" i="11"/>
  <c r="E26" i="11"/>
  <c r="E29" i="11"/>
  <c r="E25" i="11"/>
  <c r="E30" i="11"/>
  <c r="E22" i="11"/>
  <c r="E28" i="11"/>
  <c r="E24" i="11"/>
  <c r="E31" i="11"/>
  <c r="E27" i="11"/>
  <c r="C12" i="11"/>
  <c r="E84" i="11" l="1"/>
  <c r="E82" i="11"/>
  <c r="E81" i="11"/>
  <c r="K8" i="11"/>
  <c r="E79" i="11"/>
  <c r="E86" i="11"/>
  <c r="E85" i="11"/>
  <c r="E83" i="11"/>
  <c r="G37" i="1"/>
  <c r="E37" i="1"/>
  <c r="K12" i="11"/>
  <c r="F49" i="1"/>
  <c r="N49" i="1"/>
  <c r="M49" i="1"/>
  <c r="K49" i="1"/>
  <c r="J49" i="1"/>
  <c r="H49" i="1"/>
  <c r="L49" i="1"/>
  <c r="I49" i="1"/>
  <c r="N53" i="1"/>
  <c r="M53" i="1"/>
  <c r="F53" i="1"/>
  <c r="L53" i="1"/>
  <c r="K53" i="1"/>
  <c r="I53" i="1"/>
  <c r="H53" i="1"/>
  <c r="J53" i="1"/>
  <c r="N61" i="1"/>
  <c r="M61" i="1"/>
  <c r="F61" i="1"/>
  <c r="L61" i="1"/>
  <c r="K61" i="1"/>
  <c r="I61" i="1"/>
  <c r="H61" i="1"/>
  <c r="J61" i="1"/>
  <c r="N69" i="1"/>
  <c r="M69" i="1"/>
  <c r="F69" i="1"/>
  <c r="L69" i="1"/>
  <c r="K69" i="1"/>
  <c r="I69" i="1"/>
  <c r="H69" i="1"/>
  <c r="J69" i="1"/>
  <c r="N77" i="1"/>
  <c r="M77" i="1"/>
  <c r="F77" i="1"/>
  <c r="L77" i="1"/>
  <c r="K77" i="1"/>
  <c r="I77" i="1"/>
  <c r="H77" i="1"/>
  <c r="J77" i="1"/>
  <c r="N85" i="1"/>
  <c r="M85" i="1"/>
  <c r="F85" i="1"/>
  <c r="L85" i="1"/>
  <c r="K85" i="1"/>
  <c r="I85" i="1"/>
  <c r="H85" i="1"/>
  <c r="J85" i="1"/>
  <c r="N93" i="1"/>
  <c r="M93" i="1"/>
  <c r="F93" i="1"/>
  <c r="L93" i="1"/>
  <c r="K93" i="1"/>
  <c r="I93" i="1"/>
  <c r="H93" i="1"/>
  <c r="J93" i="1"/>
  <c r="N39" i="1"/>
  <c r="M39" i="1"/>
  <c r="F39" i="1"/>
  <c r="J39" i="1"/>
  <c r="H39" i="1"/>
  <c r="K39" i="1"/>
  <c r="I39" i="1"/>
  <c r="L39" i="1"/>
  <c r="N42" i="1"/>
  <c r="L42" i="1"/>
  <c r="M42" i="1"/>
  <c r="F42" i="1"/>
  <c r="J42" i="1"/>
  <c r="H42" i="1"/>
  <c r="K42" i="1"/>
  <c r="I42" i="1"/>
  <c r="N46" i="1"/>
  <c r="M46" i="1"/>
  <c r="L46" i="1"/>
  <c r="K46" i="1"/>
  <c r="F46" i="1"/>
  <c r="I46" i="1"/>
  <c r="J46" i="1"/>
  <c r="H46" i="1"/>
  <c r="N50" i="1"/>
  <c r="L50" i="1"/>
  <c r="M50" i="1"/>
  <c r="F50" i="1"/>
  <c r="K50" i="1"/>
  <c r="I50" i="1"/>
  <c r="J50" i="1"/>
  <c r="H50" i="1"/>
  <c r="N54" i="1"/>
  <c r="M54" i="1"/>
  <c r="L54" i="1"/>
  <c r="K54" i="1"/>
  <c r="J54" i="1"/>
  <c r="F54" i="1"/>
  <c r="I54" i="1"/>
  <c r="H54" i="1"/>
  <c r="N58" i="1"/>
  <c r="I58" i="1"/>
  <c r="M58" i="1"/>
  <c r="F58" i="1"/>
  <c r="H58" i="1"/>
  <c r="L58" i="1"/>
  <c r="K58" i="1"/>
  <c r="J58" i="1"/>
  <c r="N62" i="1"/>
  <c r="M62" i="1"/>
  <c r="L62" i="1"/>
  <c r="K62" i="1"/>
  <c r="J62" i="1"/>
  <c r="I62" i="1"/>
  <c r="F62" i="1"/>
  <c r="H62" i="1"/>
  <c r="H66" i="1"/>
  <c r="N66" i="1"/>
  <c r="J66" i="1"/>
  <c r="I66" i="1"/>
  <c r="L66" i="1"/>
  <c r="K66" i="1"/>
  <c r="M66" i="1"/>
  <c r="F66" i="1"/>
  <c r="N70" i="1"/>
  <c r="M70" i="1"/>
  <c r="L70" i="1"/>
  <c r="K70" i="1"/>
  <c r="J70" i="1"/>
  <c r="I70" i="1"/>
  <c r="F70" i="1"/>
  <c r="H70" i="1"/>
  <c r="N74" i="1"/>
  <c r="F74" i="1"/>
  <c r="K74" i="1"/>
  <c r="J74" i="1"/>
  <c r="L74" i="1"/>
  <c r="H74" i="1"/>
  <c r="I74" i="1"/>
  <c r="M74" i="1"/>
  <c r="N78" i="1"/>
  <c r="M78" i="1"/>
  <c r="L78" i="1"/>
  <c r="K78" i="1"/>
  <c r="F78" i="1"/>
  <c r="J78" i="1"/>
  <c r="I78" i="1"/>
  <c r="H78" i="1"/>
  <c r="I38" i="1"/>
  <c r="N38" i="1"/>
  <c r="M38" i="1"/>
  <c r="L38" i="1"/>
  <c r="J38" i="1"/>
  <c r="K38" i="1"/>
  <c r="F38" i="1"/>
  <c r="H38" i="1"/>
  <c r="N43" i="1"/>
  <c r="M43" i="1"/>
  <c r="F43" i="1"/>
  <c r="J43" i="1"/>
  <c r="L43" i="1"/>
  <c r="I43" i="1"/>
  <c r="K43" i="1"/>
  <c r="H43" i="1"/>
  <c r="N47" i="1"/>
  <c r="M47" i="1"/>
  <c r="F47" i="1"/>
  <c r="K47" i="1"/>
  <c r="I47" i="1"/>
  <c r="J47" i="1"/>
  <c r="H47" i="1"/>
  <c r="L47" i="1"/>
  <c r="N51" i="1"/>
  <c r="M51" i="1"/>
  <c r="F51" i="1"/>
  <c r="K51" i="1"/>
  <c r="L51" i="1"/>
  <c r="J51" i="1"/>
  <c r="I51" i="1"/>
  <c r="H51" i="1"/>
  <c r="N55" i="1"/>
  <c r="M55" i="1"/>
  <c r="F55" i="1"/>
  <c r="L55" i="1"/>
  <c r="J55" i="1"/>
  <c r="H55" i="1"/>
  <c r="I55" i="1"/>
  <c r="K55" i="1"/>
  <c r="N59" i="1"/>
  <c r="M59" i="1"/>
  <c r="F59" i="1"/>
  <c r="K59" i="1"/>
  <c r="J59" i="1"/>
  <c r="L59" i="1"/>
  <c r="I59" i="1"/>
  <c r="H59" i="1"/>
  <c r="N63" i="1"/>
  <c r="M63" i="1"/>
  <c r="F63" i="1"/>
  <c r="H63" i="1"/>
  <c r="K63" i="1"/>
  <c r="L63" i="1"/>
  <c r="I63" i="1"/>
  <c r="J63" i="1"/>
  <c r="N67" i="1"/>
  <c r="M67" i="1"/>
  <c r="F67" i="1"/>
  <c r="K67" i="1"/>
  <c r="J67" i="1"/>
  <c r="L67" i="1"/>
  <c r="I67" i="1"/>
  <c r="H67" i="1"/>
  <c r="N71" i="1"/>
  <c r="M71" i="1"/>
  <c r="F71" i="1"/>
  <c r="K71" i="1"/>
  <c r="J71" i="1"/>
  <c r="I71" i="1"/>
  <c r="L71" i="1"/>
  <c r="H71" i="1"/>
  <c r="N75" i="1"/>
  <c r="M75" i="1"/>
  <c r="F75" i="1"/>
  <c r="K75" i="1"/>
  <c r="J75" i="1"/>
  <c r="L75" i="1"/>
  <c r="I75" i="1"/>
  <c r="H75" i="1"/>
  <c r="N79" i="1"/>
  <c r="M79" i="1"/>
  <c r="F79" i="1"/>
  <c r="J79" i="1"/>
  <c r="I79" i="1"/>
  <c r="L79" i="1"/>
  <c r="K79" i="1"/>
  <c r="H79" i="1"/>
  <c r="N83" i="1"/>
  <c r="M83" i="1"/>
  <c r="F83" i="1"/>
  <c r="K83" i="1"/>
  <c r="J83" i="1"/>
  <c r="L83" i="1"/>
  <c r="I83" i="1"/>
  <c r="H83" i="1"/>
  <c r="J87" i="1"/>
  <c r="N87" i="1"/>
  <c r="M87" i="1"/>
  <c r="F87" i="1"/>
  <c r="H87" i="1"/>
  <c r="K87" i="1"/>
  <c r="L87" i="1"/>
  <c r="I87" i="1"/>
  <c r="N91" i="1"/>
  <c r="M91" i="1"/>
  <c r="F91" i="1"/>
  <c r="K91" i="1"/>
  <c r="J91" i="1"/>
  <c r="L91" i="1"/>
  <c r="I91" i="1"/>
  <c r="H91" i="1"/>
  <c r="N95" i="1"/>
  <c r="I95" i="1"/>
  <c r="J95" i="1"/>
  <c r="M95" i="1"/>
  <c r="H95" i="1"/>
  <c r="L95" i="1"/>
  <c r="F95" i="1"/>
  <c r="K95" i="1"/>
  <c r="N99" i="1"/>
  <c r="M99" i="1"/>
  <c r="F99" i="1"/>
  <c r="K99" i="1"/>
  <c r="J99" i="1"/>
  <c r="L99" i="1"/>
  <c r="I99" i="1"/>
  <c r="H99" i="1"/>
  <c r="F103" i="1"/>
  <c r="K103" i="1"/>
  <c r="N103" i="1"/>
  <c r="J103" i="1"/>
  <c r="H103" i="1"/>
  <c r="I103" i="1"/>
  <c r="L103" i="1"/>
  <c r="M103" i="1"/>
  <c r="N107" i="1"/>
  <c r="M107" i="1"/>
  <c r="F107" i="1"/>
  <c r="L107" i="1"/>
  <c r="K107" i="1"/>
  <c r="J107" i="1"/>
  <c r="I107" i="1"/>
  <c r="H107" i="1"/>
  <c r="N111" i="1"/>
  <c r="M111" i="1"/>
  <c r="F111" i="1"/>
  <c r="K111" i="1"/>
  <c r="H111" i="1"/>
  <c r="I111" i="1"/>
  <c r="L111" i="1"/>
  <c r="J111" i="1"/>
  <c r="N115" i="1"/>
  <c r="M115" i="1"/>
  <c r="F115" i="1"/>
  <c r="L115" i="1"/>
  <c r="K115" i="1"/>
  <c r="J115" i="1"/>
  <c r="I115" i="1"/>
  <c r="H115" i="1"/>
  <c r="K119" i="1"/>
  <c r="I119" i="1"/>
  <c r="J119" i="1"/>
  <c r="N119" i="1"/>
  <c r="H119" i="1"/>
  <c r="F119" i="1"/>
  <c r="L119" i="1"/>
  <c r="M119" i="1"/>
  <c r="N123" i="1"/>
  <c r="K123" i="1"/>
  <c r="M123" i="1"/>
  <c r="F123" i="1"/>
  <c r="L123" i="1"/>
  <c r="J123" i="1"/>
  <c r="I123" i="1"/>
  <c r="H123" i="1"/>
  <c r="N127" i="1"/>
  <c r="K127" i="1"/>
  <c r="M127" i="1"/>
  <c r="F127" i="1"/>
  <c r="L127" i="1"/>
  <c r="I127" i="1"/>
  <c r="H127" i="1"/>
  <c r="J127" i="1"/>
  <c r="N131" i="1"/>
  <c r="M131" i="1"/>
  <c r="K131" i="1"/>
  <c r="F131" i="1"/>
  <c r="J131" i="1"/>
  <c r="L131" i="1"/>
  <c r="I131" i="1"/>
  <c r="H131" i="1"/>
  <c r="N135" i="1"/>
  <c r="M135" i="1"/>
  <c r="L135" i="1"/>
  <c r="F135" i="1"/>
  <c r="I135" i="1"/>
  <c r="K135" i="1"/>
  <c r="J135" i="1"/>
  <c r="H135" i="1"/>
  <c r="N45" i="1"/>
  <c r="M45" i="1"/>
  <c r="F45" i="1"/>
  <c r="L45" i="1"/>
  <c r="K45" i="1"/>
  <c r="I45" i="1"/>
  <c r="J45" i="1"/>
  <c r="H45" i="1"/>
  <c r="N57" i="1"/>
  <c r="H57" i="1"/>
  <c r="L57" i="1"/>
  <c r="F57" i="1"/>
  <c r="J57" i="1"/>
  <c r="I57" i="1"/>
  <c r="K57" i="1"/>
  <c r="M57" i="1"/>
  <c r="N65" i="1"/>
  <c r="F65" i="1"/>
  <c r="M65" i="1"/>
  <c r="I65" i="1"/>
  <c r="K65" i="1"/>
  <c r="H65" i="1"/>
  <c r="L65" i="1"/>
  <c r="J65" i="1"/>
  <c r="I73" i="1"/>
  <c r="N73" i="1"/>
  <c r="M73" i="1"/>
  <c r="K73" i="1"/>
  <c r="L73" i="1"/>
  <c r="H73" i="1"/>
  <c r="F73" i="1"/>
  <c r="J73" i="1"/>
  <c r="N81" i="1"/>
  <c r="K81" i="1"/>
  <c r="F81" i="1"/>
  <c r="L81" i="1"/>
  <c r="M81" i="1"/>
  <c r="I81" i="1"/>
  <c r="H81" i="1"/>
  <c r="J81" i="1"/>
  <c r="N89" i="1"/>
  <c r="J89" i="1"/>
  <c r="H89" i="1"/>
  <c r="M89" i="1"/>
  <c r="K89" i="1"/>
  <c r="L89" i="1"/>
  <c r="I89" i="1"/>
  <c r="F89" i="1"/>
  <c r="N40" i="1"/>
  <c r="I40" i="1"/>
  <c r="J40" i="1"/>
  <c r="M40" i="1"/>
  <c r="F40" i="1"/>
  <c r="L40" i="1"/>
  <c r="H40" i="1"/>
  <c r="K40" i="1"/>
  <c r="N44" i="1"/>
  <c r="H44" i="1"/>
  <c r="K44" i="1"/>
  <c r="F44" i="1"/>
  <c r="J44" i="1"/>
  <c r="I44" i="1"/>
  <c r="L44" i="1"/>
  <c r="M44" i="1"/>
  <c r="N48" i="1"/>
  <c r="M48" i="1"/>
  <c r="J48" i="1"/>
  <c r="F48" i="1"/>
  <c r="H48" i="1"/>
  <c r="L48" i="1"/>
  <c r="K48" i="1"/>
  <c r="I48" i="1"/>
  <c r="F52" i="1"/>
  <c r="N52" i="1"/>
  <c r="M52" i="1"/>
  <c r="J52" i="1"/>
  <c r="H52" i="1"/>
  <c r="I52" i="1"/>
  <c r="L52" i="1"/>
  <c r="K52" i="1"/>
  <c r="N56" i="1"/>
  <c r="M56" i="1"/>
  <c r="F56" i="1"/>
  <c r="H56" i="1"/>
  <c r="K56" i="1"/>
  <c r="L56" i="1"/>
  <c r="J56" i="1"/>
  <c r="I56" i="1"/>
  <c r="N60" i="1"/>
  <c r="M60" i="1"/>
  <c r="F60" i="1"/>
  <c r="L60" i="1"/>
  <c r="K60" i="1"/>
  <c r="I60" i="1"/>
  <c r="J60" i="1"/>
  <c r="H60" i="1"/>
  <c r="N64" i="1"/>
  <c r="M64" i="1"/>
  <c r="F64" i="1"/>
  <c r="K64" i="1"/>
  <c r="H64" i="1"/>
  <c r="L64" i="1"/>
  <c r="J64" i="1"/>
  <c r="I64" i="1"/>
  <c r="N68" i="1"/>
  <c r="M68" i="1"/>
  <c r="F68" i="1"/>
  <c r="L68" i="1"/>
  <c r="I68" i="1"/>
  <c r="H68" i="1"/>
  <c r="J68" i="1"/>
  <c r="K68" i="1"/>
  <c r="N72" i="1"/>
  <c r="M72" i="1"/>
  <c r="F72" i="1"/>
  <c r="K72" i="1"/>
  <c r="H72" i="1"/>
  <c r="L72" i="1"/>
  <c r="J72" i="1"/>
  <c r="I72" i="1"/>
  <c r="N76" i="1"/>
  <c r="K76" i="1"/>
  <c r="M76" i="1"/>
  <c r="F76" i="1"/>
  <c r="L76" i="1"/>
  <c r="I76" i="1"/>
  <c r="J76" i="1"/>
  <c r="H76" i="1"/>
  <c r="N80" i="1"/>
  <c r="M80" i="1"/>
  <c r="F80" i="1"/>
  <c r="K80" i="1"/>
  <c r="H80" i="1"/>
  <c r="L80" i="1"/>
  <c r="J80" i="1"/>
  <c r="I80" i="1"/>
  <c r="N84" i="1"/>
  <c r="M84" i="1"/>
  <c r="F84" i="1"/>
  <c r="L84" i="1"/>
  <c r="I84" i="1"/>
  <c r="K84" i="1"/>
  <c r="J84" i="1"/>
  <c r="H84" i="1"/>
  <c r="N88" i="1"/>
  <c r="M88" i="1"/>
  <c r="F88" i="1"/>
  <c r="K88" i="1"/>
  <c r="H88" i="1"/>
  <c r="L88" i="1"/>
  <c r="J88" i="1"/>
  <c r="I88" i="1"/>
  <c r="N92" i="1"/>
  <c r="M92" i="1"/>
  <c r="F92" i="1"/>
  <c r="L92" i="1"/>
  <c r="K92" i="1"/>
  <c r="J92" i="1"/>
  <c r="H92" i="1"/>
  <c r="I92" i="1"/>
  <c r="N96" i="1"/>
  <c r="M96" i="1"/>
  <c r="F96" i="1"/>
  <c r="K96" i="1"/>
  <c r="H96" i="1"/>
  <c r="L96" i="1"/>
  <c r="J96" i="1"/>
  <c r="I96" i="1"/>
  <c r="F100" i="1"/>
  <c r="N100" i="1"/>
  <c r="M100" i="1"/>
  <c r="L100" i="1"/>
  <c r="H100" i="1"/>
  <c r="K100" i="1"/>
  <c r="J100" i="1"/>
  <c r="I100" i="1"/>
  <c r="N104" i="1"/>
  <c r="M104" i="1"/>
  <c r="L104" i="1"/>
  <c r="F104" i="1"/>
  <c r="K104" i="1"/>
  <c r="H104" i="1"/>
  <c r="J104" i="1"/>
  <c r="I104" i="1"/>
  <c r="N108" i="1"/>
  <c r="M108" i="1"/>
  <c r="L108" i="1"/>
  <c r="I108" i="1"/>
  <c r="F108" i="1"/>
  <c r="J108" i="1"/>
  <c r="K108" i="1"/>
  <c r="H108" i="1"/>
  <c r="N112" i="1"/>
  <c r="M112" i="1"/>
  <c r="L112" i="1"/>
  <c r="F112" i="1"/>
  <c r="K112" i="1"/>
  <c r="H112" i="1"/>
  <c r="J112" i="1"/>
  <c r="I112" i="1"/>
  <c r="J116" i="1"/>
  <c r="L116" i="1"/>
  <c r="N116" i="1"/>
  <c r="M116" i="1"/>
  <c r="F116" i="1"/>
  <c r="H116" i="1"/>
  <c r="K116" i="1"/>
  <c r="I116" i="1"/>
  <c r="N120" i="1"/>
  <c r="M120" i="1"/>
  <c r="L120" i="1"/>
  <c r="F120" i="1"/>
  <c r="H120" i="1"/>
  <c r="J120" i="1"/>
  <c r="I120" i="1"/>
  <c r="K120" i="1"/>
  <c r="N124" i="1"/>
  <c r="H124" i="1"/>
  <c r="M124" i="1"/>
  <c r="K124" i="1"/>
  <c r="L124" i="1"/>
  <c r="F124" i="1"/>
  <c r="J124" i="1"/>
  <c r="I124" i="1"/>
  <c r="N128" i="1"/>
  <c r="M128" i="1"/>
  <c r="L128" i="1"/>
  <c r="K128" i="1"/>
  <c r="F128" i="1"/>
  <c r="H128" i="1"/>
  <c r="J128" i="1"/>
  <c r="I128" i="1"/>
  <c r="F132" i="1"/>
  <c r="N132" i="1"/>
  <c r="M132" i="1"/>
  <c r="L132" i="1"/>
  <c r="J132" i="1"/>
  <c r="H132" i="1"/>
  <c r="I132" i="1"/>
  <c r="K132" i="1"/>
  <c r="N122" i="1"/>
  <c r="K122" i="1"/>
  <c r="M122" i="1"/>
  <c r="F122" i="1"/>
  <c r="L122" i="1"/>
  <c r="I122" i="1"/>
  <c r="H122" i="1"/>
  <c r="J122" i="1"/>
  <c r="N106" i="1"/>
  <c r="L106" i="1"/>
  <c r="M106" i="1"/>
  <c r="F106" i="1"/>
  <c r="H106" i="1"/>
  <c r="K106" i="1"/>
  <c r="J106" i="1"/>
  <c r="I106" i="1"/>
  <c r="N98" i="1"/>
  <c r="K98" i="1"/>
  <c r="F98" i="1"/>
  <c r="M98" i="1"/>
  <c r="J98" i="1"/>
  <c r="L98" i="1"/>
  <c r="H98" i="1"/>
  <c r="I98" i="1"/>
  <c r="N86" i="1"/>
  <c r="M86" i="1"/>
  <c r="L86" i="1"/>
  <c r="K86" i="1"/>
  <c r="J86" i="1"/>
  <c r="I86" i="1"/>
  <c r="F86" i="1"/>
  <c r="H86" i="1"/>
  <c r="N134" i="1"/>
  <c r="M134" i="1"/>
  <c r="L134" i="1"/>
  <c r="J134" i="1"/>
  <c r="I134" i="1"/>
  <c r="F134" i="1"/>
  <c r="K134" i="1"/>
  <c r="H134" i="1"/>
  <c r="N126" i="1"/>
  <c r="M126" i="1"/>
  <c r="F126" i="1"/>
  <c r="L126" i="1"/>
  <c r="J126" i="1"/>
  <c r="I126" i="1"/>
  <c r="K126" i="1"/>
  <c r="H126" i="1"/>
  <c r="N118" i="1"/>
  <c r="M118" i="1"/>
  <c r="L118" i="1"/>
  <c r="K118" i="1"/>
  <c r="J118" i="1"/>
  <c r="I118" i="1"/>
  <c r="F118" i="1"/>
  <c r="H118" i="1"/>
  <c r="N110" i="1"/>
  <c r="M110" i="1"/>
  <c r="K110" i="1"/>
  <c r="F110" i="1"/>
  <c r="J110" i="1"/>
  <c r="I110" i="1"/>
  <c r="L110" i="1"/>
  <c r="H110" i="1"/>
  <c r="N102" i="1"/>
  <c r="M102" i="1"/>
  <c r="L102" i="1"/>
  <c r="K102" i="1"/>
  <c r="J102" i="1"/>
  <c r="I102" i="1"/>
  <c r="F102" i="1"/>
  <c r="H102" i="1"/>
  <c r="N94" i="1"/>
  <c r="M94" i="1"/>
  <c r="L94" i="1"/>
  <c r="K94" i="1"/>
  <c r="F94" i="1"/>
  <c r="J94" i="1"/>
  <c r="I94" i="1"/>
  <c r="H94" i="1"/>
  <c r="M133" i="1"/>
  <c r="N133" i="1"/>
  <c r="F133" i="1"/>
  <c r="K133" i="1"/>
  <c r="I133" i="1"/>
  <c r="L133" i="1"/>
  <c r="H133" i="1"/>
  <c r="J133" i="1"/>
  <c r="M125" i="1"/>
  <c r="N125" i="1"/>
  <c r="F125" i="1"/>
  <c r="L125" i="1"/>
  <c r="I125" i="1"/>
  <c r="K125" i="1"/>
  <c r="H125" i="1"/>
  <c r="J125" i="1"/>
  <c r="M117" i="1"/>
  <c r="N117" i="1"/>
  <c r="F117" i="1"/>
  <c r="K117" i="1"/>
  <c r="I117" i="1"/>
  <c r="L117" i="1"/>
  <c r="H117" i="1"/>
  <c r="J117" i="1"/>
  <c r="M109" i="1"/>
  <c r="N109" i="1"/>
  <c r="F109" i="1"/>
  <c r="K109" i="1"/>
  <c r="L109" i="1"/>
  <c r="I109" i="1"/>
  <c r="H109" i="1"/>
  <c r="J109" i="1"/>
  <c r="M101" i="1"/>
  <c r="N101" i="1"/>
  <c r="F101" i="1"/>
  <c r="K101" i="1"/>
  <c r="I101" i="1"/>
  <c r="L101" i="1"/>
  <c r="H101" i="1"/>
  <c r="J101" i="1"/>
  <c r="N90" i="1"/>
  <c r="K90" i="1"/>
  <c r="L90" i="1"/>
  <c r="F90" i="1"/>
  <c r="H90" i="1"/>
  <c r="M90" i="1"/>
  <c r="I90" i="1"/>
  <c r="J90" i="1"/>
  <c r="N130" i="1"/>
  <c r="J130" i="1"/>
  <c r="L130" i="1"/>
  <c r="F130" i="1"/>
  <c r="H130" i="1"/>
  <c r="K130" i="1"/>
  <c r="I130" i="1"/>
  <c r="M130" i="1"/>
  <c r="N114" i="1"/>
  <c r="H114" i="1"/>
  <c r="M114" i="1"/>
  <c r="L114" i="1"/>
  <c r="F114" i="1"/>
  <c r="J114" i="1"/>
  <c r="K114" i="1"/>
  <c r="I114" i="1"/>
  <c r="F129" i="1"/>
  <c r="K129" i="1"/>
  <c r="J129" i="1"/>
  <c r="H129" i="1"/>
  <c r="M129" i="1"/>
  <c r="N129" i="1"/>
  <c r="L129" i="1"/>
  <c r="I129" i="1"/>
  <c r="K121" i="1"/>
  <c r="J121" i="1"/>
  <c r="M121" i="1"/>
  <c r="N121" i="1"/>
  <c r="F121" i="1"/>
  <c r="L121" i="1"/>
  <c r="H121" i="1"/>
  <c r="I121" i="1"/>
  <c r="H113" i="1"/>
  <c r="L113" i="1"/>
  <c r="M113" i="1"/>
  <c r="N113" i="1"/>
  <c r="F113" i="1"/>
  <c r="I113" i="1"/>
  <c r="K113" i="1"/>
  <c r="J113" i="1"/>
  <c r="F105" i="1"/>
  <c r="M105" i="1"/>
  <c r="N105" i="1"/>
  <c r="K105" i="1"/>
  <c r="L105" i="1"/>
  <c r="H105" i="1"/>
  <c r="I105" i="1"/>
  <c r="J105" i="1"/>
  <c r="F97" i="1"/>
  <c r="M97" i="1"/>
  <c r="N97" i="1"/>
  <c r="L97" i="1"/>
  <c r="I97" i="1"/>
  <c r="J97" i="1"/>
  <c r="H97" i="1"/>
  <c r="K97" i="1"/>
  <c r="N82" i="1"/>
  <c r="K82" i="1"/>
  <c r="H82" i="1"/>
  <c r="M82" i="1"/>
  <c r="L82" i="1"/>
  <c r="J82" i="1"/>
  <c r="I82" i="1"/>
  <c r="F82" i="1"/>
  <c r="N41" i="1"/>
  <c r="J41" i="1"/>
  <c r="M41" i="1"/>
  <c r="K41" i="1"/>
  <c r="L41" i="1"/>
  <c r="F41" i="1"/>
  <c r="I41" i="1"/>
  <c r="H41" i="1"/>
  <c r="L37" i="1" l="1"/>
  <c r="K37" i="1"/>
  <c r="H37" i="1"/>
  <c r="I37" i="1"/>
  <c r="J37" i="1"/>
  <c r="M37" i="1"/>
  <c r="N37" i="1"/>
  <c r="E31" i="4"/>
  <c r="D31" i="4"/>
  <c r="C31" i="4" l="1"/>
  <c r="I31" i="4" s="1"/>
</calcChain>
</file>

<file path=xl/sharedStrings.xml><?xml version="1.0" encoding="utf-8"?>
<sst xmlns="http://schemas.openxmlformats.org/spreadsheetml/2006/main" count="641" uniqueCount="235">
  <si>
    <t>Model</t>
  </si>
  <si>
    <t>Generelle forudsætninger</t>
  </si>
  <si>
    <t>Kr. pr. indbygger</t>
  </si>
  <si>
    <t>Maskinindsamling (%-andel)</t>
  </si>
  <si>
    <t>Håndopsamling (%-andel)</t>
  </si>
  <si>
    <t>Tømning af skraldespande</t>
  </si>
  <si>
    <t>Renhold af pladser</t>
  </si>
  <si>
    <t>Renhold af grønne arealer</t>
  </si>
  <si>
    <t>Plast af samlet mængde (%)</t>
  </si>
  <si>
    <t>Andel af vægt</t>
  </si>
  <si>
    <t>Andel af antal</t>
  </si>
  <si>
    <t>Omkostninger for renholdelsesaktiviteter</t>
  </si>
  <si>
    <t>Samlet omkostning mio. kr.</t>
  </si>
  <si>
    <t>Maskinopsamling (mio. kr.)</t>
  </si>
  <si>
    <t>Håndopsamling (mio. kr.)</t>
  </si>
  <si>
    <t>Maskinopsamling af SUP (mio. kr.)</t>
  </si>
  <si>
    <t>Håndopsamling af SUP (mio. kr.)</t>
  </si>
  <si>
    <t>SUP omkostning mio. kr</t>
  </si>
  <si>
    <t>Renholdsomkostninger i alt</t>
  </si>
  <si>
    <t>Administration, data, tilsyn mm</t>
  </si>
  <si>
    <t>Generelle aktiviteter vedr. SUP-produkterne</t>
  </si>
  <si>
    <t xml:space="preserve">I alt </t>
  </si>
  <si>
    <t>I alt</t>
  </si>
  <si>
    <t xml:space="preserve">Mio. kr. </t>
  </si>
  <si>
    <t>Vælg fra liste</t>
  </si>
  <si>
    <t>Inkluder belastningsfaktor:</t>
  </si>
  <si>
    <t>Ja</t>
  </si>
  <si>
    <t>Fordeling af omkostninger</t>
  </si>
  <si>
    <t>Kommune</t>
  </si>
  <si>
    <t>Faktorer</t>
  </si>
  <si>
    <t>Fordeling af samlede omkostninger</t>
  </si>
  <si>
    <t>Omkostninger til tømning af skraldespande</t>
  </si>
  <si>
    <t>Omkostninger til renhold af pladser</t>
  </si>
  <si>
    <t>Omkostninger til renhold af grønne arealer</t>
  </si>
  <si>
    <t>Administration, data, tilsyn mm.</t>
  </si>
  <si>
    <t>Antal indbyggere</t>
  </si>
  <si>
    <t>Belastningsfaktor</t>
  </si>
  <si>
    <t>Fordeling (1.000 kr.)</t>
  </si>
  <si>
    <t>Fordeling (kr. pr. indbygger)</t>
  </si>
  <si>
    <t>Maskinindsamling (1.000 kr.)</t>
  </si>
  <si>
    <t>Håndopsamling (1.000 kr.)</t>
  </si>
  <si>
    <t>Håndopsamling (1.000. kr.)</t>
  </si>
  <si>
    <t>Omkostninger (1.000 kr.)</t>
  </si>
  <si>
    <t>Total</t>
  </si>
  <si>
    <t>København</t>
  </si>
  <si>
    <t>Frederiksberg</t>
  </si>
  <si>
    <t>Dragør</t>
  </si>
  <si>
    <t>Tårnby</t>
  </si>
  <si>
    <t>Albertslund</t>
  </si>
  <si>
    <t>Ballerup</t>
  </si>
  <si>
    <t>Brøndby</t>
  </si>
  <si>
    <t>Gentofte</t>
  </si>
  <si>
    <t>Gladsaxe</t>
  </si>
  <si>
    <t>Glostrup</t>
  </si>
  <si>
    <t>Herlev</t>
  </si>
  <si>
    <t>Hvidovre</t>
  </si>
  <si>
    <t>Høje-Taastrup</t>
  </si>
  <si>
    <t>Ishøj</t>
  </si>
  <si>
    <t>Lyngby-Taarbæk</t>
  </si>
  <si>
    <t>Rødovre</t>
  </si>
  <si>
    <t>Vallensbæk</t>
  </si>
  <si>
    <t>Allerød</t>
  </si>
  <si>
    <t>Egedal</t>
  </si>
  <si>
    <t>Fredensborg</t>
  </si>
  <si>
    <t>Frederikssund</t>
  </si>
  <si>
    <t>Furesø</t>
  </si>
  <si>
    <t>Gribskov</t>
  </si>
  <si>
    <t>Halsnæs</t>
  </si>
  <si>
    <t>Helsingør</t>
  </si>
  <si>
    <t>Hillerød</t>
  </si>
  <si>
    <t>Hørsholm</t>
  </si>
  <si>
    <t>Rudersdal</t>
  </si>
  <si>
    <t>Bornholm</t>
  </si>
  <si>
    <t>Greve</t>
  </si>
  <si>
    <t>Køge</t>
  </si>
  <si>
    <t>Lejre</t>
  </si>
  <si>
    <t>Roskilde</t>
  </si>
  <si>
    <t>Solrød</t>
  </si>
  <si>
    <t>Faxe</t>
  </si>
  <si>
    <t>Guldborgsund</t>
  </si>
  <si>
    <t>Holbæk</t>
  </si>
  <si>
    <t>Kalundborg</t>
  </si>
  <si>
    <t>Lolland</t>
  </si>
  <si>
    <t>Næstved</t>
  </si>
  <si>
    <t>Odsherred</t>
  </si>
  <si>
    <t>Ringsted</t>
  </si>
  <si>
    <t>Slagelse</t>
  </si>
  <si>
    <t>Sorø</t>
  </si>
  <si>
    <t>Stevns</t>
  </si>
  <si>
    <t>Vordingborg</t>
  </si>
  <si>
    <t>Assens</t>
  </si>
  <si>
    <t>Faaborg-Midtfyn</t>
  </si>
  <si>
    <t>Kerteminde</t>
  </si>
  <si>
    <t>Langeland</t>
  </si>
  <si>
    <t>Middelfart</t>
  </si>
  <si>
    <t>Nordfyns</t>
  </si>
  <si>
    <t>Nyborg</t>
  </si>
  <si>
    <t>Odense</t>
  </si>
  <si>
    <t>Svendborg</t>
  </si>
  <si>
    <t>Ærø</t>
  </si>
  <si>
    <t>Billund</t>
  </si>
  <si>
    <t>Esbjerg</t>
  </si>
  <si>
    <t>Fanø</t>
  </si>
  <si>
    <t>Fredericia</t>
  </si>
  <si>
    <t>Haderslev</t>
  </si>
  <si>
    <t>Kolding</t>
  </si>
  <si>
    <t>Sønderborg</t>
  </si>
  <si>
    <t>Tønder</t>
  </si>
  <si>
    <t>Varde</t>
  </si>
  <si>
    <t>Vejen</t>
  </si>
  <si>
    <t>Vejle</t>
  </si>
  <si>
    <t>Aabenraa</t>
  </si>
  <si>
    <t>Favrskov</t>
  </si>
  <si>
    <t>Hedensted</t>
  </si>
  <si>
    <t>Horsens</t>
  </si>
  <si>
    <t>Norddjurs</t>
  </si>
  <si>
    <t>Odder</t>
  </si>
  <si>
    <t>Randers</t>
  </si>
  <si>
    <t>Samsø</t>
  </si>
  <si>
    <t>Silkeborg</t>
  </si>
  <si>
    <t>Skanderborg</t>
  </si>
  <si>
    <t>Syddjurs</t>
  </si>
  <si>
    <t>Aarhus</t>
  </si>
  <si>
    <t>Herning</t>
  </si>
  <si>
    <t>Holstebro</t>
  </si>
  <si>
    <t>Ikast-Brande</t>
  </si>
  <si>
    <t>Lemvig</t>
  </si>
  <si>
    <t>Ringkøbing-Skjern</t>
  </si>
  <si>
    <t>Skive</t>
  </si>
  <si>
    <t>Struer</t>
  </si>
  <si>
    <t>Viborg</t>
  </si>
  <si>
    <t>Brønderslev</t>
  </si>
  <si>
    <t>Frederikshavn</t>
  </si>
  <si>
    <t>Hjørring</t>
  </si>
  <si>
    <t>Jammerbugt</t>
  </si>
  <si>
    <t>Læsø</t>
  </si>
  <si>
    <t>Mariagerfjord</t>
  </si>
  <si>
    <t>Morsø</t>
  </si>
  <si>
    <t>Rebild</t>
  </si>
  <si>
    <t>Thisted</t>
  </si>
  <si>
    <t>Vesthimmerlands</t>
  </si>
  <si>
    <t>Aalborg</t>
  </si>
  <si>
    <t>Plast</t>
  </si>
  <si>
    <t>Generelle oplysninger</t>
  </si>
  <si>
    <t>Plasttyper</t>
  </si>
  <si>
    <t>Renhold ved skraldespande</t>
  </si>
  <si>
    <t>Øvrige omkostninger</t>
  </si>
  <si>
    <t>Fordeling efter antal</t>
  </si>
  <si>
    <t>Fordeling efter vægt</t>
  </si>
  <si>
    <t>Tobaksfiltre</t>
  </si>
  <si>
    <t>Fødevarebeholdere</t>
  </si>
  <si>
    <t>Indpakningsposer og -folier</t>
  </si>
  <si>
    <t>Drikkevarebeholdere</t>
  </si>
  <si>
    <t>Drikkebægre inkl. kapsler og låg</t>
  </si>
  <si>
    <t>Letvægtsplast  bæreposer</t>
  </si>
  <si>
    <t>Vådservietter</t>
  </si>
  <si>
    <t>Balloner</t>
  </si>
  <si>
    <t>Omkostningsfordeling (mio. kr.)</t>
  </si>
  <si>
    <t>Administration mm</t>
  </si>
  <si>
    <t>Generelle aktiviteter</t>
  </si>
  <si>
    <t>Konkrete aktiviteter</t>
  </si>
  <si>
    <t>Samlet</t>
  </si>
  <si>
    <t>Total (mio. kr.)</t>
  </si>
  <si>
    <t>Producenter</t>
  </si>
  <si>
    <t>Samlede omkostninger til fordeling</t>
  </si>
  <si>
    <t>Ekstra omkostninger (mio. kr.)</t>
  </si>
  <si>
    <t>Fordelte omkostninger fra renhold og administration mm.</t>
  </si>
  <si>
    <t>Inkluder incitamentfaktor:</t>
  </si>
  <si>
    <t>Producent</t>
  </si>
  <si>
    <t>Markedsførte mængder (antal)</t>
  </si>
  <si>
    <t>Incitamentsfaktor</t>
  </si>
  <si>
    <t>Producent x1</t>
  </si>
  <si>
    <t>Producent x2</t>
  </si>
  <si>
    <t>Producent x3</t>
  </si>
  <si>
    <t>Producent x4</t>
  </si>
  <si>
    <t>Producent x5</t>
  </si>
  <si>
    <t>Producent x6</t>
  </si>
  <si>
    <t>Producent x7</t>
  </si>
  <si>
    <t>Producent x8</t>
  </si>
  <si>
    <t>Producent x9</t>
  </si>
  <si>
    <t>Producent x10</t>
  </si>
  <si>
    <t>Belastningfaktorer</t>
  </si>
  <si>
    <t>Vægtning af belastningsfaktorer</t>
  </si>
  <si>
    <t>Andel etageboliger</t>
  </si>
  <si>
    <t>Andel af dagbrugere</t>
  </si>
  <si>
    <t>Vægtet belastningsfaktor</t>
  </si>
  <si>
    <t>Belastningsfaktor baseret på andel af etageboliger</t>
  </si>
  <si>
    <t>Belastningsfaktor baseret på andel af dagbrugere</t>
  </si>
  <si>
    <t>Hele landet</t>
  </si>
  <si>
    <t>Kilde: Danmarks Statistik, tabel PEND101, antal beskæftigede</t>
  </si>
  <si>
    <t>Natbefolkning (bopælskommune)</t>
  </si>
  <si>
    <t>Dagbefolkning (arbejdsstedskommune)</t>
  </si>
  <si>
    <t>Andel dagbefolkning af antal indbyggere</t>
  </si>
  <si>
    <t>Omkostninger pr. indbygger</t>
  </si>
  <si>
    <t>Afvigelse fra landsgennemsnit</t>
  </si>
  <si>
    <t>Kilde: Danmarks Statistik, tabel BOL201</t>
  </si>
  <si>
    <t>Kommune/landsdel</t>
  </si>
  <si>
    <t>Parcel/Stuehuse</t>
  </si>
  <si>
    <t>Række-, kæde- og dobbelthuse</t>
  </si>
  <si>
    <t>Etageboliger</t>
  </si>
  <si>
    <t>Kollegier</t>
  </si>
  <si>
    <t>Døgninstitutioner</t>
  </si>
  <si>
    <t>Fritidshuse</t>
  </si>
  <si>
    <t>Andet</t>
  </si>
  <si>
    <t>Beregnet total</t>
  </si>
  <si>
    <t>Andel i etageboliger</t>
  </si>
  <si>
    <t>Afvigelse fra landsgennemsnit (%)</t>
  </si>
  <si>
    <t>Omkostninger til renhold (kr. pr. indbygger)</t>
  </si>
  <si>
    <t>Afvigelse fra landsgennemsnit, faktor</t>
  </si>
  <si>
    <t>Region Hovedstaden</t>
  </si>
  <si>
    <t>Landsdel Byen København</t>
  </si>
  <si>
    <t>Landsdel Københavns omegn</t>
  </si>
  <si>
    <t>Landsdel Nordsjælland</t>
  </si>
  <si>
    <t>Landsdel Bornholm</t>
  </si>
  <si>
    <t>Christiansø</t>
  </si>
  <si>
    <t>Region Sjælland</t>
  </si>
  <si>
    <t>Landsdel Østsjælland</t>
  </si>
  <si>
    <t>Landsdel Vest- og Sydsjælland</t>
  </si>
  <si>
    <t>Region Syddanmark</t>
  </si>
  <si>
    <t>Landsdel Fyn</t>
  </si>
  <si>
    <t>Landsdel Sydjylland</t>
  </si>
  <si>
    <t>Region Midtjylland</t>
  </si>
  <si>
    <t>Landsdel Østjylland</t>
  </si>
  <si>
    <t>Landsdel Vestjylland</t>
  </si>
  <si>
    <t>Region Nordjylland</t>
  </si>
  <si>
    <t>Landsdel Nordjylland</t>
  </si>
  <si>
    <t>Konkrete aktiviteter relateret til en produktgruppe</t>
  </si>
  <si>
    <t>Administration, datahåndtering, tilsyn mm.</t>
  </si>
  <si>
    <t>Administration mm.</t>
  </si>
  <si>
    <t>Renhold</t>
  </si>
  <si>
    <t xml:space="preserve">Pulje til generelle aktiviteter </t>
  </si>
  <si>
    <t>Pulje til konkrete aktiviteter vedr. en produktgruppe</t>
  </si>
  <si>
    <t>Konkrete aktiviteter kan omfatte både en omkostning til et eller flere konkrete produkter eller omkostninger til f.eks. Udviklingsprojekter i en eller flere konkrete kommuner. Derfor skal de konkrete omkostninger indtastes fordelt på både produktgrupper og på kommuner</t>
  </si>
  <si>
    <t>Input data er markeret med denne farve</t>
  </si>
  <si>
    <t>Konkrete aktiviteter for relevant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</si>
</sst>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.0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Verdana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8B2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7" fillId="0" borderId="0" applyNumberFormat="0" applyBorder="0" applyAlignment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76">
    <xf numFmtId="0" fontId="0" fillId="0" borderId="0" xfId="0"/>
    <xf numFmtId="0" fontId="3" fillId="3" borderId="0" xfId="0" applyFont="1" applyFill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4" borderId="1" xfId="0" applyFont="1" applyFill="1" applyBorder="1"/>
    <xf numFmtId="0" fontId="2" fillId="0" borderId="0" xfId="0" applyFont="1"/>
    <xf numFmtId="0" fontId="7" fillId="0" borderId="0" xfId="0" applyFont="1" applyAlignment="1">
      <alignment horizontal="left"/>
    </xf>
    <xf numFmtId="0" fontId="7" fillId="0" borderId="0" xfId="2"/>
    <xf numFmtId="0" fontId="6" fillId="0" borderId="0" xfId="2" applyFont="1" applyAlignment="1">
      <alignment horizontal="left"/>
    </xf>
    <xf numFmtId="0" fontId="7" fillId="0" borderId="0" xfId="2" applyAlignment="1">
      <alignment horizontal="right"/>
    </xf>
    <xf numFmtId="165" fontId="0" fillId="0" borderId="0" xfId="3" applyNumberFormat="1" applyFont="1"/>
    <xf numFmtId="9" fontId="0" fillId="0" borderId="0" xfId="4" applyFont="1"/>
    <xf numFmtId="0" fontId="6" fillId="0" borderId="0" xfId="2" applyFont="1"/>
    <xf numFmtId="0" fontId="7" fillId="0" borderId="0" xfId="2" applyFont="1" applyAlignment="1">
      <alignment horizontal="left"/>
    </xf>
    <xf numFmtId="0" fontId="7" fillId="0" borderId="0" xfId="2" applyNumberFormat="1"/>
    <xf numFmtId="2" fontId="7" fillId="0" borderId="0" xfId="2" applyNumberFormat="1"/>
    <xf numFmtId="1" fontId="7" fillId="0" borderId="0" xfId="2" applyNumberFormat="1"/>
    <xf numFmtId="10" fontId="7" fillId="0" borderId="0" xfId="2" applyNumberFormat="1"/>
    <xf numFmtId="3" fontId="3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0" fontId="10" fillId="3" borderId="0" xfId="0" applyFont="1" applyFill="1"/>
    <xf numFmtId="0" fontId="1" fillId="2" borderId="0" xfId="1" applyFont="1" applyFill="1"/>
    <xf numFmtId="0" fontId="1" fillId="3" borderId="0" xfId="1" applyFont="1" applyFill="1"/>
    <xf numFmtId="0" fontId="1" fillId="3" borderId="0" xfId="1" applyFont="1" applyFill="1" applyAlignment="1">
      <alignment wrapText="1"/>
    </xf>
    <xf numFmtId="0" fontId="13" fillId="2" borderId="0" xfId="1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9" fillId="2" borderId="0" xfId="1" applyFont="1" applyFill="1"/>
    <xf numFmtId="0" fontId="11" fillId="4" borderId="1" xfId="1" applyFont="1" applyFill="1" applyBorder="1"/>
    <xf numFmtId="0" fontId="1" fillId="4" borderId="1" xfId="1" applyFont="1" applyFill="1" applyBorder="1"/>
    <xf numFmtId="4" fontId="1" fillId="4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6" fillId="4" borderId="1" xfId="0" applyFont="1" applyFill="1" applyBorder="1" applyAlignment="1">
      <alignment horizontal="left"/>
    </xf>
    <xf numFmtId="3" fontId="8" fillId="4" borderId="1" xfId="1" applyNumberFormat="1" applyFont="1" applyFill="1" applyBorder="1" applyAlignment="1">
      <alignment horizontal="center"/>
    </xf>
    <xf numFmtId="2" fontId="8" fillId="4" borderId="1" xfId="1" applyNumberFormat="1" applyFont="1" applyFill="1" applyBorder="1" applyAlignment="1">
      <alignment horizontal="center"/>
    </xf>
    <xf numFmtId="0" fontId="8" fillId="4" borderId="1" xfId="1" applyFont="1" applyFill="1" applyBorder="1"/>
    <xf numFmtId="2" fontId="0" fillId="0" borderId="0" xfId="0" applyNumberFormat="1"/>
    <xf numFmtId="0" fontId="0" fillId="0" borderId="0" xfId="0" applyFont="1"/>
    <xf numFmtId="2" fontId="2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15" fillId="3" borderId="0" xfId="0" applyFont="1" applyFill="1"/>
    <xf numFmtId="0" fontId="3" fillId="3" borderId="0" xfId="0" applyFont="1" applyFill="1" applyBorder="1"/>
    <xf numFmtId="3" fontId="7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2" fillId="0" borderId="0" xfId="0" applyNumberFormat="1" applyFont="1"/>
    <xf numFmtId="4" fontId="2" fillId="0" borderId="0" xfId="0" applyNumberFormat="1" applyFont="1"/>
    <xf numFmtId="2" fontId="1" fillId="3" borderId="0" xfId="1" applyNumberFormat="1" applyFont="1" applyFill="1"/>
    <xf numFmtId="0" fontId="2" fillId="4" borderId="1" xfId="1" applyFont="1" applyFill="1" applyBorder="1" applyAlignment="1">
      <alignment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1" fillId="3" borderId="0" xfId="1" applyFont="1" applyFill="1" applyAlignment="1">
      <alignment vertical="center" wrapText="1"/>
    </xf>
    <xf numFmtId="4" fontId="8" fillId="4" borderId="1" xfId="1" applyNumberFormat="1" applyFont="1" applyFill="1" applyBorder="1" applyAlignment="1">
      <alignment horizontal="center"/>
    </xf>
    <xf numFmtId="0" fontId="12" fillId="4" borderId="1" xfId="1" applyFont="1" applyFill="1" applyBorder="1" applyAlignment="1">
      <alignment vertical="center"/>
    </xf>
    <xf numFmtId="0" fontId="12" fillId="4" borderId="1" xfId="1" applyFont="1" applyFill="1" applyBorder="1" applyAlignment="1">
      <alignment vertical="center" wrapText="1"/>
    </xf>
    <xf numFmtId="0" fontId="17" fillId="3" borderId="0" xfId="1" applyFont="1" applyFill="1"/>
    <xf numFmtId="0" fontId="12" fillId="4" borderId="1" xfId="1" applyFont="1" applyFill="1" applyBorder="1"/>
    <xf numFmtId="0" fontId="17" fillId="4" borderId="1" xfId="1" applyFont="1" applyFill="1" applyBorder="1"/>
    <xf numFmtId="0" fontId="2" fillId="4" borderId="1" xfId="1" applyFont="1" applyFill="1" applyBorder="1" applyAlignment="1">
      <alignment horizontal="left" vertical="center" wrapText="1"/>
    </xf>
    <xf numFmtId="0" fontId="17" fillId="4" borderId="4" xfId="1" applyFont="1" applyFill="1" applyBorder="1"/>
    <xf numFmtId="164" fontId="1" fillId="4" borderId="1" xfId="1" applyNumberFormat="1" applyFont="1" applyFill="1" applyBorder="1" applyAlignment="1">
      <alignment horizontal="center"/>
    </xf>
    <xf numFmtId="0" fontId="1" fillId="2" borderId="5" xfId="1" applyFont="1" applyFill="1" applyBorder="1"/>
    <xf numFmtId="0" fontId="1" fillId="2" borderId="3" xfId="1" applyFont="1" applyFill="1" applyBorder="1"/>
    <xf numFmtId="4" fontId="1" fillId="3" borderId="0" xfId="1" applyNumberFormat="1" applyFont="1" applyFill="1"/>
    <xf numFmtId="4" fontId="3" fillId="3" borderId="0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19" fillId="2" borderId="0" xfId="0" applyFont="1" applyFill="1" applyAlignment="1">
      <alignment vertical="center"/>
    </xf>
    <xf numFmtId="0" fontId="17" fillId="2" borderId="0" xfId="0" applyFont="1" applyFill="1"/>
    <xf numFmtId="0" fontId="15" fillId="2" borderId="0" xfId="0" applyFont="1" applyFill="1"/>
    <xf numFmtId="0" fontId="15" fillId="3" borderId="0" xfId="0" applyFont="1" applyFill="1" applyBorder="1"/>
    <xf numFmtId="0" fontId="19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4" borderId="1" xfId="0" applyFont="1" applyFill="1" applyBorder="1"/>
    <xf numFmtId="164" fontId="15" fillId="4" borderId="1" xfId="0" applyNumberFormat="1" applyFont="1" applyFill="1" applyBorder="1" applyAlignment="1">
      <alignment horizontal="center"/>
    </xf>
    <xf numFmtId="164" fontId="15" fillId="3" borderId="0" xfId="0" applyNumberFormat="1" applyFont="1" applyFill="1" applyBorder="1" applyAlignment="1">
      <alignment horizontal="center"/>
    </xf>
    <xf numFmtId="3" fontId="15" fillId="4" borderId="1" xfId="0" applyNumberFormat="1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19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wrapText="1"/>
    </xf>
    <xf numFmtId="0" fontId="19" fillId="3" borderId="0" xfId="0" applyFont="1" applyFill="1" applyAlignment="1">
      <alignment horizontal="center" vertical="center" wrapText="1"/>
    </xf>
    <xf numFmtId="0" fontId="15" fillId="4" borderId="1" xfId="0" applyFont="1" applyFill="1" applyBorder="1" applyAlignment="1"/>
    <xf numFmtId="166" fontId="15" fillId="4" borderId="2" xfId="0" applyNumberFormat="1" applyFont="1" applyFill="1" applyBorder="1" applyAlignment="1">
      <alignment horizontal="center"/>
    </xf>
    <xf numFmtId="166" fontId="15" fillId="4" borderId="1" xfId="0" applyNumberFormat="1" applyFont="1" applyFill="1" applyBorder="1" applyAlignment="1">
      <alignment horizontal="center"/>
    </xf>
    <xf numFmtId="4" fontId="15" fillId="4" borderId="2" xfId="0" applyNumberFormat="1" applyFont="1" applyFill="1" applyBorder="1" applyAlignment="1">
      <alignment horizontal="center"/>
    </xf>
    <xf numFmtId="166" fontId="15" fillId="4" borderId="1" xfId="0" applyNumberFormat="1" applyFont="1" applyFill="1" applyBorder="1" applyAlignment="1">
      <alignment horizontal="center" vertical="center"/>
    </xf>
    <xf numFmtId="166" fontId="15" fillId="4" borderId="6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/>
    </xf>
    <xf numFmtId="4" fontId="15" fillId="3" borderId="0" xfId="0" applyNumberFormat="1" applyFont="1" applyFill="1" applyBorder="1" applyAlignment="1">
      <alignment horizontal="center"/>
    </xf>
    <xf numFmtId="166" fontId="15" fillId="3" borderId="0" xfId="0" applyNumberFormat="1" applyFont="1" applyFill="1" applyBorder="1" applyAlignment="1">
      <alignment horizontal="center"/>
    </xf>
    <xf numFmtId="166" fontId="15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/>
    <xf numFmtId="0" fontId="15" fillId="3" borderId="0" xfId="0" applyFont="1" applyFill="1" applyBorder="1" applyAlignment="1">
      <alignment horizontal="center"/>
    </xf>
    <xf numFmtId="0" fontId="12" fillId="3" borderId="0" xfId="1" applyFont="1" applyFill="1"/>
    <xf numFmtId="0" fontId="17" fillId="4" borderId="2" xfId="1" applyFont="1" applyFill="1" applyBorder="1"/>
    <xf numFmtId="0" fontId="19" fillId="3" borderId="0" xfId="0" applyFont="1" applyFill="1"/>
    <xf numFmtId="3" fontId="19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/>
    </xf>
    <xf numFmtId="3" fontId="12" fillId="0" borderId="1" xfId="1" applyNumberFormat="1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/>
    </xf>
    <xf numFmtId="3" fontId="17" fillId="4" borderId="1" xfId="1" applyNumberFormat="1" applyFont="1" applyFill="1" applyBorder="1" applyAlignment="1">
      <alignment horizontal="left" vertical="center" wrapText="1"/>
    </xf>
    <xf numFmtId="3" fontId="15" fillId="4" borderId="1" xfId="0" applyNumberFormat="1" applyFont="1" applyFill="1" applyBorder="1" applyAlignment="1">
      <alignment horizontal="left"/>
    </xf>
    <xf numFmtId="0" fontId="12" fillId="4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/>
    </xf>
    <xf numFmtId="166" fontId="1" fillId="4" borderId="1" xfId="1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horizontal="center"/>
    </xf>
    <xf numFmtId="0" fontId="12" fillId="4" borderId="1" xfId="1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166" fontId="19" fillId="4" borderId="1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 vertical="center"/>
    </xf>
    <xf numFmtId="2" fontId="1" fillId="4" borderId="1" xfId="1" applyNumberFormat="1" applyFont="1" applyFill="1" applyBorder="1" applyAlignment="1">
      <alignment horizontal="center"/>
    </xf>
    <xf numFmtId="0" fontId="2" fillId="4" borderId="1" xfId="1" applyFont="1" applyFill="1" applyBorder="1"/>
    <xf numFmtId="3" fontId="10" fillId="3" borderId="0" xfId="0" applyNumberFormat="1" applyFont="1" applyFill="1" applyBorder="1" applyAlignment="1">
      <alignment horizontal="left"/>
    </xf>
    <xf numFmtId="0" fontId="0" fillId="2" borderId="0" xfId="0" applyFont="1" applyFill="1"/>
    <xf numFmtId="0" fontId="0" fillId="4" borderId="1" xfId="1" applyFont="1" applyFill="1" applyBorder="1"/>
    <xf numFmtId="4" fontId="17" fillId="4" borderId="1" xfId="1" applyNumberFormat="1" applyFont="1" applyFill="1" applyBorder="1" applyAlignment="1">
      <alignment horizontal="center" vertical="center" wrapText="1"/>
    </xf>
    <xf numFmtId="3" fontId="12" fillId="4" borderId="7" xfId="1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0" fontId="22" fillId="3" borderId="9" xfId="0" applyFont="1" applyFill="1" applyBorder="1" applyAlignment="1">
      <alignment horizontal="left"/>
    </xf>
    <xf numFmtId="4" fontId="3" fillId="3" borderId="5" xfId="0" applyNumberFormat="1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center"/>
    </xf>
    <xf numFmtId="4" fontId="3" fillId="3" borderId="7" xfId="0" applyNumberFormat="1" applyFont="1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 vertical="center" wrapText="1"/>
    </xf>
    <xf numFmtId="2" fontId="10" fillId="3" borderId="0" xfId="0" applyNumberFormat="1" applyFont="1" applyFill="1" applyBorder="1" applyAlignment="1">
      <alignment horizontal="center" vertical="center" wrapText="1"/>
    </xf>
    <xf numFmtId="4" fontId="10" fillId="3" borderId="0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left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166" fontId="19" fillId="5" borderId="1" xfId="0" applyNumberFormat="1" applyFont="1" applyFill="1" applyBorder="1" applyAlignment="1">
      <alignment horizontal="center" vertical="center" wrapText="1"/>
    </xf>
    <xf numFmtId="167" fontId="15" fillId="5" borderId="1" xfId="0" applyNumberFormat="1" applyFont="1" applyFill="1" applyBorder="1" applyAlignment="1">
      <alignment horizontal="center" vertical="center"/>
    </xf>
    <xf numFmtId="167" fontId="15" fillId="5" borderId="6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/>
    <xf numFmtId="3" fontId="17" fillId="5" borderId="1" xfId="1" applyNumberFormat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/>
    </xf>
    <xf numFmtId="164" fontId="15" fillId="6" borderId="1" xfId="0" applyNumberFormat="1" applyFont="1" applyFill="1" applyBorder="1" applyAlignment="1">
      <alignment horizontal="center"/>
    </xf>
    <xf numFmtId="9" fontId="15" fillId="6" borderId="1" xfId="0" applyNumberFormat="1" applyFont="1" applyFill="1" applyBorder="1" applyAlignment="1">
      <alignment horizontal="center"/>
    </xf>
    <xf numFmtId="4" fontId="15" fillId="6" borderId="1" xfId="0" applyNumberFormat="1" applyFont="1" applyFill="1" applyBorder="1" applyAlignment="1">
      <alignment horizontal="center"/>
    </xf>
    <xf numFmtId="166" fontId="19" fillId="6" borderId="1" xfId="0" applyNumberFormat="1" applyFont="1" applyFill="1" applyBorder="1" applyAlignment="1">
      <alignment horizontal="center" vertical="center" wrapText="1"/>
    </xf>
    <xf numFmtId="166" fontId="15" fillId="6" borderId="1" xfId="0" applyNumberFormat="1" applyFont="1" applyFill="1" applyBorder="1" applyAlignment="1">
      <alignment horizontal="center"/>
    </xf>
    <xf numFmtId="3" fontId="20" fillId="6" borderId="1" xfId="1" applyNumberFormat="1" applyFont="1" applyFill="1" applyBorder="1" applyAlignment="1">
      <alignment horizontal="center" vertical="center" wrapText="1"/>
    </xf>
    <xf numFmtId="164" fontId="17" fillId="6" borderId="1" xfId="1" applyNumberFormat="1" applyFont="1" applyFill="1" applyBorder="1" applyAlignment="1">
      <alignment horizontal="center"/>
    </xf>
    <xf numFmtId="164" fontId="17" fillId="6" borderId="4" xfId="1" applyNumberFormat="1" applyFont="1" applyFill="1" applyBorder="1" applyAlignment="1">
      <alignment horizontal="center"/>
    </xf>
    <xf numFmtId="4" fontId="17" fillId="5" borderId="1" xfId="1" applyNumberFormat="1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/>
    </xf>
    <xf numFmtId="0" fontId="1" fillId="6" borderId="1" xfId="1" applyFont="1" applyFill="1" applyBorder="1"/>
    <xf numFmtId="0" fontId="23" fillId="3" borderId="0" xfId="0" applyFont="1" applyFill="1" applyBorder="1"/>
    <xf numFmtId="3" fontId="15" fillId="3" borderId="0" xfId="0" applyNumberFormat="1" applyFont="1" applyFill="1" applyBorder="1" applyAlignment="1">
      <alignment horizontal="center"/>
    </xf>
    <xf numFmtId="3" fontId="20" fillId="3" borderId="0" xfId="1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vertical="center"/>
    </xf>
    <xf numFmtId="0" fontId="15" fillId="6" borderId="0" xfId="0" applyFont="1" applyFill="1"/>
    <xf numFmtId="0" fontId="19" fillId="4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horizontal="center"/>
    </xf>
    <xf numFmtId="0" fontId="11" fillId="4" borderId="1" xfId="1" applyFont="1" applyFill="1" applyBorder="1" applyAlignment="1">
      <alignment horizontal="center"/>
    </xf>
    <xf numFmtId="0" fontId="12" fillId="4" borderId="1" xfId="1" applyFont="1" applyFill="1" applyBorder="1" applyAlignment="1">
      <alignment horizontal="left" vertical="center"/>
    </xf>
    <xf numFmtId="0" fontId="12" fillId="4" borderId="6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/>
    </xf>
  </cellXfs>
  <cellStyles count="5">
    <cellStyle name="Comma 2" xfId="3"/>
    <cellStyle name="Normal" xfId="0" builtinId="0"/>
    <cellStyle name="Normal 2" xfId="1"/>
    <cellStyle name="Normal 3" xfId="2"/>
    <cellStyle name="Percent 2" xfId="4"/>
  </cellStyles>
  <dxfs count="0"/>
  <tableStyles count="0" defaultTableStyle="TableStyleMedium2" defaultPivotStyle="PivotStyleLight16"/>
  <colors>
    <mruColors>
      <color rgb="FFFFA07A"/>
      <color rgb="FFBF8B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Sammenligning af antal persone</a:t>
            </a:r>
            <a:r>
              <a:rPr lang="en-US" sz="1050" baseline="0"/>
              <a:t>r i etagebolig (%) og omkostninger ved renhold i kr. pr. indbygger</a:t>
            </a:r>
            <a:endParaRPr lang="en-US" sz="105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5488755729433193"/>
                  <c:y val="-1.771289537712895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Boligforhold!$J$5:$J$119</c:f>
              <c:numCache>
                <c:formatCode>0%</c:formatCode>
                <c:ptCount val="115"/>
                <c:pt idx="0">
                  <c:v>0.54891111456399599</c:v>
                </c:pt>
                <c:pt idx="1">
                  <c:v>0.83517562409901758</c:v>
                </c:pt>
                <c:pt idx="2">
                  <c:v>0.86311329369767487</c:v>
                </c:pt>
                <c:pt idx="3">
                  <c:v>0.93338215173530148</c:v>
                </c:pt>
                <c:pt idx="4">
                  <c:v>0.14782608695652175</c:v>
                </c:pt>
                <c:pt idx="5">
                  <c:v>0.41904583897948694</c:v>
                </c:pt>
                <c:pt idx="6">
                  <c:v>0.44753045720606871</c:v>
                </c:pt>
                <c:pt idx="7">
                  <c:v>0.29048256887376461</c:v>
                </c:pt>
                <c:pt idx="8">
                  <c:v>0.44122376613202491</c:v>
                </c:pt>
                <c:pt idx="9">
                  <c:v>0.56178810600423557</c:v>
                </c:pt>
                <c:pt idx="10">
                  <c:v>0.49270033814610059</c:v>
                </c:pt>
                <c:pt idx="11">
                  <c:v>0.46030251224247343</c:v>
                </c:pt>
                <c:pt idx="12">
                  <c:v>0.49807338646116123</c:v>
                </c:pt>
                <c:pt idx="13">
                  <c:v>0.35951850821040915</c:v>
                </c:pt>
                <c:pt idx="14">
                  <c:v>0.44753711201079621</c:v>
                </c:pt>
                <c:pt idx="15">
                  <c:v>0.40309463978313775</c:v>
                </c:pt>
                <c:pt idx="16">
                  <c:v>0.52159817751686677</c:v>
                </c:pt>
                <c:pt idx="17">
                  <c:v>0.42136185867100023</c:v>
                </c:pt>
                <c:pt idx="18">
                  <c:v>0.47822009427675904</c:v>
                </c:pt>
                <c:pt idx="19">
                  <c:v>0.36043425814234015</c:v>
                </c:pt>
                <c:pt idx="20">
                  <c:v>0.22031885803927007</c:v>
                </c:pt>
                <c:pt idx="21">
                  <c:v>0.13730255164034022</c:v>
                </c:pt>
                <c:pt idx="22">
                  <c:v>7.7047775642064803E-2</c:v>
                </c:pt>
                <c:pt idx="23">
                  <c:v>0.2274403737398574</c:v>
                </c:pt>
                <c:pt idx="24">
                  <c:v>0.15514064338520969</c:v>
                </c:pt>
                <c:pt idx="25">
                  <c:v>0.26363412835013522</c:v>
                </c:pt>
                <c:pt idx="26">
                  <c:v>6.0182579113536798E-2</c:v>
                </c:pt>
                <c:pt idx="27">
                  <c:v>0.14130330156896717</c:v>
                </c:pt>
                <c:pt idx="28">
                  <c:v>0.37095687331536387</c:v>
                </c:pt>
                <c:pt idx="29">
                  <c:v>0.29382212104560795</c:v>
                </c:pt>
                <c:pt idx="30">
                  <c:v>0.28748080497858242</c:v>
                </c:pt>
                <c:pt idx="31">
                  <c:v>0.2805866392381493</c:v>
                </c:pt>
                <c:pt idx="32">
                  <c:v>8.1812636608549788E-2</c:v>
                </c:pt>
                <c:pt idx="33">
                  <c:v>8.1812636608549788E-2</c:v>
                </c:pt>
                <c:pt idx="34">
                  <c:v>0</c:v>
                </c:pt>
                <c:pt idx="35">
                  <c:v>0.19826768286970872</c:v>
                </c:pt>
                <c:pt idx="36">
                  <c:v>0.22031544369837205</c:v>
                </c:pt>
                <c:pt idx="37">
                  <c:v>0.20573268665023456</c:v>
                </c:pt>
                <c:pt idx="38">
                  <c:v>0.2531237604125347</c:v>
                </c:pt>
                <c:pt idx="39">
                  <c:v>2.954954954954955E-2</c:v>
                </c:pt>
                <c:pt idx="40">
                  <c:v>0.2775955406707345</c:v>
                </c:pt>
                <c:pt idx="41">
                  <c:v>0.17831612390786339</c:v>
                </c:pt>
                <c:pt idx="42">
                  <c:v>0.18889307293360491</c:v>
                </c:pt>
                <c:pt idx="43">
                  <c:v>0.11326194398682043</c:v>
                </c:pt>
                <c:pt idx="44">
                  <c:v>0.17455670239513035</c:v>
                </c:pt>
                <c:pt idx="45">
                  <c:v>0.22343018857351005</c:v>
                </c:pt>
                <c:pt idx="46">
                  <c:v>0.13200786993890443</c:v>
                </c:pt>
                <c:pt idx="47">
                  <c:v>0.14040443510965661</c:v>
                </c:pt>
                <c:pt idx="48">
                  <c:v>0.20923496542318878</c:v>
                </c:pt>
                <c:pt idx="49">
                  <c:v>9.0648796832165701E-2</c:v>
                </c:pt>
                <c:pt idx="50">
                  <c:v>0.28278320340800417</c:v>
                </c:pt>
                <c:pt idx="51">
                  <c:v>0.31465796391065282</c:v>
                </c:pt>
                <c:pt idx="52">
                  <c:v>0.12397083039284874</c:v>
                </c:pt>
                <c:pt idx="53">
                  <c:v>5.9992947192100854E-2</c:v>
                </c:pt>
                <c:pt idx="54">
                  <c:v>0.16994069272659126</c:v>
                </c:pt>
                <c:pt idx="55">
                  <c:v>0.2113241052016864</c:v>
                </c:pt>
                <c:pt idx="56">
                  <c:v>0.21181145242945601</c:v>
                </c:pt>
                <c:pt idx="57">
                  <c:v>8.5867970660146703E-2</c:v>
                </c:pt>
                <c:pt idx="58">
                  <c:v>7.4206944958958063E-2</c:v>
                </c:pt>
                <c:pt idx="59">
                  <c:v>9.7663827275027412E-2</c:v>
                </c:pt>
                <c:pt idx="60">
                  <c:v>7.681799919646444E-2</c:v>
                </c:pt>
                <c:pt idx="61">
                  <c:v>0.11358465198055642</c:v>
                </c:pt>
                <c:pt idx="62">
                  <c:v>5.9223662391282274E-2</c:v>
                </c:pt>
                <c:pt idx="63">
                  <c:v>0.19122757584296046</c:v>
                </c:pt>
                <c:pt idx="64">
                  <c:v>0.35071716928342078</c:v>
                </c:pt>
                <c:pt idx="65">
                  <c:v>0.1814903638779137</c:v>
                </c:pt>
                <c:pt idx="66">
                  <c:v>5.5312710154673837E-2</c:v>
                </c:pt>
                <c:pt idx="67">
                  <c:v>0.21098931855749953</c:v>
                </c:pt>
                <c:pt idx="68">
                  <c:v>0.12000904022901913</c:v>
                </c:pt>
                <c:pt idx="69">
                  <c:v>0.27012418204096528</c:v>
                </c:pt>
                <c:pt idx="70">
                  <c:v>4.5428407130534788E-2</c:v>
                </c:pt>
                <c:pt idx="71">
                  <c:v>0.3250611127407842</c:v>
                </c:pt>
                <c:pt idx="72">
                  <c:v>0.21454787521139937</c:v>
                </c:pt>
                <c:pt idx="73">
                  <c:v>0.25667567887803355</c:v>
                </c:pt>
                <c:pt idx="74">
                  <c:v>0.20355119206999608</c:v>
                </c:pt>
                <c:pt idx="75">
                  <c:v>0.10307923394667667</c:v>
                </c:pt>
                <c:pt idx="76">
                  <c:v>9.9281910601904153E-2</c:v>
                </c:pt>
                <c:pt idx="77">
                  <c:v>7.9784366576819407E-2</c:v>
                </c:pt>
                <c:pt idx="78">
                  <c:v>0.25303876049872187</c:v>
                </c:pt>
                <c:pt idx="79">
                  <c:v>0.15614011129698543</c:v>
                </c:pt>
                <c:pt idx="80">
                  <c:v>0.25096554335478988</c:v>
                </c:pt>
                <c:pt idx="81">
                  <c:v>0.29097926738408275</c:v>
                </c:pt>
                <c:pt idx="82">
                  <c:v>8.5436088667909679E-2</c:v>
                </c:pt>
                <c:pt idx="83">
                  <c:v>7.1998455797194702E-2</c:v>
                </c:pt>
                <c:pt idx="84">
                  <c:v>0.26525070099132314</c:v>
                </c:pt>
                <c:pt idx="85">
                  <c:v>0.13253337657423922</c:v>
                </c:pt>
                <c:pt idx="86">
                  <c:v>0.16018819804766513</c:v>
                </c:pt>
                <c:pt idx="87">
                  <c:v>0.30428821770951447</c:v>
                </c:pt>
                <c:pt idx="88">
                  <c:v>4.7997805814591336E-2</c:v>
                </c:pt>
                <c:pt idx="89">
                  <c:v>0.18635038911959689</c:v>
                </c:pt>
                <c:pt idx="90">
                  <c:v>0.12991880074953155</c:v>
                </c:pt>
                <c:pt idx="91">
                  <c:v>7.9561106571728726E-2</c:v>
                </c:pt>
                <c:pt idx="92">
                  <c:v>0.46297659651564738</c:v>
                </c:pt>
                <c:pt idx="93">
                  <c:v>0.16750984355466239</c:v>
                </c:pt>
                <c:pt idx="94">
                  <c:v>0.22400207127901478</c:v>
                </c:pt>
                <c:pt idx="95">
                  <c:v>0.1876368363437329</c:v>
                </c:pt>
                <c:pt idx="96">
                  <c:v>0.14296456205884492</c:v>
                </c:pt>
                <c:pt idx="97">
                  <c:v>0.1001727115716753</c:v>
                </c:pt>
                <c:pt idx="98">
                  <c:v>8.3317087003526927E-2</c:v>
                </c:pt>
                <c:pt idx="99">
                  <c:v>0.17085438124603644</c:v>
                </c:pt>
                <c:pt idx="100">
                  <c:v>0.17155411214060559</c:v>
                </c:pt>
                <c:pt idx="101">
                  <c:v>0.17428914366127229</c:v>
                </c:pt>
                <c:pt idx="102">
                  <c:v>0.21649358104137534</c:v>
                </c:pt>
                <c:pt idx="103">
                  <c:v>0.21649358104137534</c:v>
                </c:pt>
                <c:pt idx="104">
                  <c:v>0.11224659355267531</c:v>
                </c:pt>
                <c:pt idx="105">
                  <c:v>0.17304593070104754</c:v>
                </c:pt>
                <c:pt idx="106">
                  <c:v>0.14958569559529</c:v>
                </c:pt>
                <c:pt idx="107">
                  <c:v>5.1454021482839923E-2</c:v>
                </c:pt>
                <c:pt idx="108">
                  <c:v>2.1996615905245348E-2</c:v>
                </c:pt>
                <c:pt idx="109">
                  <c:v>0.14311733128834356</c:v>
                </c:pt>
                <c:pt idx="110">
                  <c:v>0.10723661399772152</c:v>
                </c:pt>
                <c:pt idx="111">
                  <c:v>6.6035849936696214E-2</c:v>
                </c:pt>
                <c:pt idx="112">
                  <c:v>0.11360908503369957</c:v>
                </c:pt>
                <c:pt idx="113">
                  <c:v>0.10601131735053716</c:v>
                </c:pt>
                <c:pt idx="114">
                  <c:v>0.38162744278884092</c:v>
                </c:pt>
              </c:numCache>
            </c:numRef>
          </c:xVal>
          <c:yVal>
            <c:numRef>
              <c:f>Boligforhold!$L$5:$L$119</c:f>
              <c:numCache>
                <c:formatCode>General</c:formatCode>
                <c:ptCount val="115"/>
                <c:pt idx="2" formatCode="0">
                  <c:v>105</c:v>
                </c:pt>
                <c:pt idx="27" formatCode="0">
                  <c:v>40.347922890644917</c:v>
                </c:pt>
                <c:pt idx="29" formatCode="0">
                  <c:v>85.591736514076956</c:v>
                </c:pt>
                <c:pt idx="30" formatCode="0">
                  <c:v>51.624914736164747</c:v>
                </c:pt>
                <c:pt idx="40" formatCode="0">
                  <c:v>94.4</c:v>
                </c:pt>
                <c:pt idx="64" formatCode="0">
                  <c:v>34.359061958564148</c:v>
                </c:pt>
                <c:pt idx="82" formatCode="0">
                  <c:v>24.603797756059265</c:v>
                </c:pt>
                <c:pt idx="96" formatCode="0">
                  <c:v>18.8</c:v>
                </c:pt>
                <c:pt idx="101" formatCode="0">
                  <c:v>37.037775869662923</c:v>
                </c:pt>
                <c:pt idx="114" formatCode="0">
                  <c:v>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23-4C82-94CC-1F7ADCB5A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851631"/>
        <c:axId val="888231791"/>
      </c:scatterChart>
      <c:valAx>
        <c:axId val="1008851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Andel personer i etagebolig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88231791"/>
        <c:crosses val="autoZero"/>
        <c:crossBetween val="midCat"/>
      </c:valAx>
      <c:valAx>
        <c:axId val="888231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Omkostninger pr. indbygger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08851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0" i="0" baseline="0">
                <a:effectLst/>
              </a:rPr>
              <a:t>Sammenligning af andelen af dagbefolkning af samlet indbyggertal og omkostninger ved renhold i kr. pr. indbygger</a:t>
            </a:r>
            <a:endParaRPr lang="da-DK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592239720034995"/>
                  <c:y val="-0.114862204724409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Pendling!$D$10:$D$92</c:f>
              <c:numCache>
                <c:formatCode>#,##0.00</c:formatCode>
                <c:ptCount val="83"/>
                <c:pt idx="0">
                  <c:v>0.29508775307215968</c:v>
                </c:pt>
                <c:pt idx="1">
                  <c:v>0.32081059252551458</c:v>
                </c:pt>
                <c:pt idx="2">
                  <c:v>0.32070322104745513</c:v>
                </c:pt>
                <c:pt idx="3">
                  <c:v>0.3470446320868516</c:v>
                </c:pt>
                <c:pt idx="4">
                  <c:v>0.34585392641405821</c:v>
                </c:pt>
                <c:pt idx="5">
                  <c:v>0.34693877551020408</c:v>
                </c:pt>
                <c:pt idx="6">
                  <c:v>0.34173745304409625</c:v>
                </c:pt>
                <c:pt idx="7">
                  <c:v>0.34667135696068946</c:v>
                </c:pt>
                <c:pt idx="8">
                  <c:v>0.34240691023695574</c:v>
                </c:pt>
                <c:pt idx="9">
                  <c:v>0.36580600759274473</c:v>
                </c:pt>
                <c:pt idx="10">
                  <c:v>0.32231167337550315</c:v>
                </c:pt>
                <c:pt idx="11">
                  <c:v>0.37129283612944264</c:v>
                </c:pt>
                <c:pt idx="12">
                  <c:v>0.38838542013726929</c:v>
                </c:pt>
                <c:pt idx="13">
                  <c:v>0.40822461603684507</c:v>
                </c:pt>
                <c:pt idx="14">
                  <c:v>0.3692401488897446</c:v>
                </c:pt>
                <c:pt idx="15">
                  <c:v>0.4033561218147918</c:v>
                </c:pt>
                <c:pt idx="16">
                  <c:v>0.37755705475566925</c:v>
                </c:pt>
                <c:pt idx="17">
                  <c:v>0.37121967431040215</c:v>
                </c:pt>
                <c:pt idx="18">
                  <c:v>0.34447151995126407</c:v>
                </c:pt>
                <c:pt idx="19">
                  <c:v>0.37266503667481665</c:v>
                </c:pt>
                <c:pt idx="20">
                  <c:v>0.35377727685419991</c:v>
                </c:pt>
                <c:pt idx="21">
                  <c:v>0.3748367096258457</c:v>
                </c:pt>
                <c:pt idx="22">
                  <c:v>0.36212712480984194</c:v>
                </c:pt>
                <c:pt idx="23">
                  <c:v>0.38716269321456642</c:v>
                </c:pt>
                <c:pt idx="24">
                  <c:v>0.3898003717772569</c:v>
                </c:pt>
                <c:pt idx="25">
                  <c:v>0.39659278769368711</c:v>
                </c:pt>
                <c:pt idx="26">
                  <c:v>0.40225829216654907</c:v>
                </c:pt>
                <c:pt idx="27">
                  <c:v>0.39325628044703409</c:v>
                </c:pt>
                <c:pt idx="28">
                  <c:v>0.43544030830655578</c:v>
                </c:pt>
                <c:pt idx="29">
                  <c:v>0.44435368920065982</c:v>
                </c:pt>
                <c:pt idx="30">
                  <c:v>0.44781749233500079</c:v>
                </c:pt>
                <c:pt idx="31">
                  <c:v>0.41255585735564709</c:v>
                </c:pt>
                <c:pt idx="32">
                  <c:v>0.3627159501807955</c:v>
                </c:pt>
                <c:pt idx="33">
                  <c:v>0.39993786890338612</c:v>
                </c:pt>
                <c:pt idx="34">
                  <c:v>0.45603311457126927</c:v>
                </c:pt>
                <c:pt idx="35">
                  <c:v>0.42851501764604261</c:v>
                </c:pt>
                <c:pt idx="36">
                  <c:v>0.42958457890939078</c:v>
                </c:pt>
                <c:pt idx="37">
                  <c:v>0.38826584623527854</c:v>
                </c:pt>
                <c:pt idx="38">
                  <c:v>0.4066374293666189</c:v>
                </c:pt>
                <c:pt idx="39">
                  <c:v>0.42209708178906841</c:v>
                </c:pt>
                <c:pt idx="40">
                  <c:v>0.40480339550371813</c:v>
                </c:pt>
                <c:pt idx="41">
                  <c:v>0.42692286903410626</c:v>
                </c:pt>
                <c:pt idx="42">
                  <c:v>0.39038332212508409</c:v>
                </c:pt>
                <c:pt idx="43">
                  <c:v>0.43780873407916293</c:v>
                </c:pt>
                <c:pt idx="44">
                  <c:v>0.44246553296496971</c:v>
                </c:pt>
                <c:pt idx="45">
                  <c:v>0.48196413922418846</c:v>
                </c:pt>
                <c:pt idx="46">
                  <c:v>0.46201778880959771</c:v>
                </c:pt>
                <c:pt idx="47">
                  <c:v>0.47389007416438078</c:v>
                </c:pt>
                <c:pt idx="48">
                  <c:v>0.4889152925493378</c:v>
                </c:pt>
                <c:pt idx="49">
                  <c:v>0.48844488497052535</c:v>
                </c:pt>
                <c:pt idx="50">
                  <c:v>0.48388536295120982</c:v>
                </c:pt>
                <c:pt idx="51">
                  <c:v>0.49497637289535257</c:v>
                </c:pt>
                <c:pt idx="52">
                  <c:v>0.4766559513656542</c:v>
                </c:pt>
                <c:pt idx="53">
                  <c:v>0.47721494765041961</c:v>
                </c:pt>
                <c:pt idx="54">
                  <c:v>0.47363092642202981</c:v>
                </c:pt>
                <c:pt idx="55">
                  <c:v>0.48822113792418254</c:v>
                </c:pt>
                <c:pt idx="56">
                  <c:v>0.44157981349424025</c:v>
                </c:pt>
                <c:pt idx="57">
                  <c:v>0.42784527016723428</c:v>
                </c:pt>
                <c:pt idx="58">
                  <c:v>0.45374389765642958</c:v>
                </c:pt>
                <c:pt idx="59">
                  <c:v>0.46842339888057855</c:v>
                </c:pt>
                <c:pt idx="60">
                  <c:v>0.39857373125580031</c:v>
                </c:pt>
                <c:pt idx="61">
                  <c:v>0.48225717781836885</c:v>
                </c:pt>
                <c:pt idx="62">
                  <c:v>0.45907198495836693</c:v>
                </c:pt>
                <c:pt idx="63">
                  <c:v>0.4993769171779141</c:v>
                </c:pt>
                <c:pt idx="64">
                  <c:v>0.45346869712351945</c:v>
                </c:pt>
                <c:pt idx="65">
                  <c:v>0.51038685255285754</c:v>
                </c:pt>
                <c:pt idx="66">
                  <c:v>0.52442986631348043</c:v>
                </c:pt>
                <c:pt idx="67">
                  <c:v>0.53457009703491909</c:v>
                </c:pt>
                <c:pt idx="68">
                  <c:v>0.53632383956897012</c:v>
                </c:pt>
                <c:pt idx="69">
                  <c:v>0.53362753147235908</c:v>
                </c:pt>
                <c:pt idx="70">
                  <c:v>0.50208255095421805</c:v>
                </c:pt>
                <c:pt idx="71">
                  <c:v>0.53503569319950617</c:v>
                </c:pt>
                <c:pt idx="72">
                  <c:v>0.52464957027278336</c:v>
                </c:pt>
                <c:pt idx="73">
                  <c:v>0.52357610360674001</c:v>
                </c:pt>
                <c:pt idx="74">
                  <c:v>0.51957279624721564</c:v>
                </c:pt>
                <c:pt idx="75">
                  <c:v>0.56967036412809158</c:v>
                </c:pt>
                <c:pt idx="76">
                  <c:v>0.55577655419991756</c:v>
                </c:pt>
                <c:pt idx="77">
                  <c:v>0.55857324936272301</c:v>
                </c:pt>
                <c:pt idx="78">
                  <c:v>0.54594700303119192</c:v>
                </c:pt>
                <c:pt idx="79">
                  <c:v>0.5836358348503291</c:v>
                </c:pt>
                <c:pt idx="80">
                  <c:v>0.58136578800549854</c:v>
                </c:pt>
                <c:pt idx="81">
                  <c:v>0.60293194128267524</c:v>
                </c:pt>
                <c:pt idx="82">
                  <c:v>0.6464960119545573</c:v>
                </c:pt>
              </c:numCache>
            </c:numRef>
          </c:xVal>
          <c:yVal>
            <c:numRef>
              <c:f>Pendling!$F$10:$F$92</c:f>
              <c:numCache>
                <c:formatCode>0.00</c:formatCode>
                <c:ptCount val="83"/>
                <c:pt idx="0">
                  <c:v>40.347922890644917</c:v>
                </c:pt>
                <c:pt idx="15">
                  <c:v>24.603797756059265</c:v>
                </c:pt>
                <c:pt idx="24">
                  <c:v>51.624914736164747</c:v>
                </c:pt>
                <c:pt idx="51">
                  <c:v>94.4</c:v>
                </c:pt>
                <c:pt idx="66">
                  <c:v>37.037775869662923</c:v>
                </c:pt>
                <c:pt idx="73">
                  <c:v>79</c:v>
                </c:pt>
                <c:pt idx="74">
                  <c:v>34.359061958564148</c:v>
                </c:pt>
                <c:pt idx="76">
                  <c:v>18.8</c:v>
                </c:pt>
                <c:pt idx="81">
                  <c:v>85.591736514076956</c:v>
                </c:pt>
                <c:pt idx="82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C1-4F06-A637-3F37B8388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629023"/>
        <c:axId val="1354673679"/>
      </c:scatterChart>
      <c:valAx>
        <c:axId val="1646629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Andel dagbefolkning af samlet indbyggertal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54673679"/>
        <c:crosses val="autoZero"/>
        <c:crossBetween val="midCat"/>
      </c:valAx>
      <c:valAx>
        <c:axId val="1354673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Omkostninger pr. indbygger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466290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0" i="0" baseline="0">
                <a:effectLst/>
              </a:rPr>
              <a:t>Sammenligning af andelen af dagbefolkning af samlet indbyggertal og omkostninger ved renhold i kr. pr. indbygger</a:t>
            </a:r>
            <a:endParaRPr lang="da-DK" sz="9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592239720034995"/>
                  <c:y val="-0.114862204724409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Pendling!$D$5:$D$92</c:f>
              <c:numCache>
                <c:formatCode>#,##0.00</c:formatCode>
                <c:ptCount val="88"/>
                <c:pt idx="0">
                  <c:v>0.22309565217391306</c:v>
                </c:pt>
                <c:pt idx="1">
                  <c:v>0.2788368193451593</c:v>
                </c:pt>
                <c:pt idx="2">
                  <c:v>0.2814432273453602</c:v>
                </c:pt>
                <c:pt idx="3">
                  <c:v>0.27259102530194834</c:v>
                </c:pt>
                <c:pt idx="4">
                  <c:v>0.29470270270270271</c:v>
                </c:pt>
                <c:pt idx="5">
                  <c:v>0.29508775307215968</c:v>
                </c:pt>
                <c:pt idx="6">
                  <c:v>0.32081059252551458</c:v>
                </c:pt>
                <c:pt idx="7">
                  <c:v>0.32070322104745513</c:v>
                </c:pt>
                <c:pt idx="8">
                  <c:v>0.3470446320868516</c:v>
                </c:pt>
                <c:pt idx="9">
                  <c:v>0.34585392641405821</c:v>
                </c:pt>
                <c:pt idx="10">
                  <c:v>0.34693877551020408</c:v>
                </c:pt>
                <c:pt idx="11">
                  <c:v>0.34173745304409625</c:v>
                </c:pt>
                <c:pt idx="12">
                  <c:v>0.34667135696068946</c:v>
                </c:pt>
                <c:pt idx="13">
                  <c:v>0.34240691023695574</c:v>
                </c:pt>
                <c:pt idx="14">
                  <c:v>0.36580600759274473</c:v>
                </c:pt>
                <c:pt idx="15">
                  <c:v>0.32231167337550315</c:v>
                </c:pt>
                <c:pt idx="16">
                  <c:v>0.37129283612944264</c:v>
                </c:pt>
                <c:pt idx="17">
                  <c:v>0.38838542013726929</c:v>
                </c:pt>
                <c:pt idx="18">
                  <c:v>0.40822461603684507</c:v>
                </c:pt>
                <c:pt idx="19">
                  <c:v>0.3692401488897446</c:v>
                </c:pt>
                <c:pt idx="20">
                  <c:v>0.4033561218147918</c:v>
                </c:pt>
                <c:pt idx="21">
                  <c:v>0.37755705475566925</c:v>
                </c:pt>
                <c:pt idx="22">
                  <c:v>0.37121967431040215</c:v>
                </c:pt>
                <c:pt idx="23">
                  <c:v>0.34447151995126407</c:v>
                </c:pt>
                <c:pt idx="24">
                  <c:v>0.37266503667481665</c:v>
                </c:pt>
                <c:pt idx="25">
                  <c:v>0.35377727685419991</c:v>
                </c:pt>
                <c:pt idx="26">
                  <c:v>0.3748367096258457</c:v>
                </c:pt>
                <c:pt idx="27">
                  <c:v>0.36212712480984194</c:v>
                </c:pt>
                <c:pt idx="28">
                  <c:v>0.38716269321456642</c:v>
                </c:pt>
                <c:pt idx="29">
                  <c:v>0.3898003717772569</c:v>
                </c:pt>
                <c:pt idx="30">
                  <c:v>0.39659278769368711</c:v>
                </c:pt>
                <c:pt idx="31">
                  <c:v>0.40225829216654907</c:v>
                </c:pt>
                <c:pt idx="32">
                  <c:v>0.39325628044703409</c:v>
                </c:pt>
                <c:pt idx="33">
                  <c:v>0.43544030830655578</c:v>
                </c:pt>
                <c:pt idx="34">
                  <c:v>0.44435368920065982</c:v>
                </c:pt>
                <c:pt idx="35">
                  <c:v>0.44781749233500079</c:v>
                </c:pt>
                <c:pt idx="36">
                  <c:v>0.41255585735564709</c:v>
                </c:pt>
                <c:pt idx="37">
                  <c:v>0.3627159501807955</c:v>
                </c:pt>
                <c:pt idx="38">
                  <c:v>0.39993786890338612</c:v>
                </c:pt>
                <c:pt idx="39">
                  <c:v>0.45603311457126927</c:v>
                </c:pt>
                <c:pt idx="40">
                  <c:v>0.42851501764604261</c:v>
                </c:pt>
                <c:pt idx="41">
                  <c:v>0.42958457890939078</c:v>
                </c:pt>
                <c:pt idx="42">
                  <c:v>0.38826584623527854</c:v>
                </c:pt>
                <c:pt idx="43">
                  <c:v>0.4066374293666189</c:v>
                </c:pt>
                <c:pt idx="44">
                  <c:v>0.42209708178906841</c:v>
                </c:pt>
                <c:pt idx="45">
                  <c:v>0.40480339550371813</c:v>
                </c:pt>
                <c:pt idx="46">
                  <c:v>0.42692286903410626</c:v>
                </c:pt>
                <c:pt idx="47">
                  <c:v>0.39038332212508409</c:v>
                </c:pt>
                <c:pt idx="48">
                  <c:v>0.43780873407916293</c:v>
                </c:pt>
                <c:pt idx="49">
                  <c:v>0.44246553296496971</c:v>
                </c:pt>
                <c:pt idx="50">
                  <c:v>0.48196413922418846</c:v>
                </c:pt>
                <c:pt idx="51">
                  <c:v>0.46201778880959771</c:v>
                </c:pt>
                <c:pt idx="52">
                  <c:v>0.47389007416438078</c:v>
                </c:pt>
                <c:pt idx="53">
                  <c:v>0.4889152925493378</c:v>
                </c:pt>
                <c:pt idx="54">
                  <c:v>0.48844488497052535</c:v>
                </c:pt>
                <c:pt idx="55">
                  <c:v>0.48388536295120982</c:v>
                </c:pt>
                <c:pt idx="56">
                  <c:v>0.49497637289535257</c:v>
                </c:pt>
                <c:pt idx="57">
                  <c:v>0.4766559513656542</c:v>
                </c:pt>
                <c:pt idx="58">
                  <c:v>0.47721494765041961</c:v>
                </c:pt>
                <c:pt idx="59">
                  <c:v>0.47363092642202981</c:v>
                </c:pt>
                <c:pt idx="60">
                  <c:v>0.48822113792418254</c:v>
                </c:pt>
                <c:pt idx="61">
                  <c:v>0.44157981349424025</c:v>
                </c:pt>
                <c:pt idx="62">
                  <c:v>0.42784527016723428</c:v>
                </c:pt>
                <c:pt idx="63">
                  <c:v>0.45374389765642958</c:v>
                </c:pt>
                <c:pt idx="64">
                  <c:v>0.46842339888057855</c:v>
                </c:pt>
                <c:pt idx="65">
                  <c:v>0.39857373125580031</c:v>
                </c:pt>
                <c:pt idx="66">
                  <c:v>0.48225717781836885</c:v>
                </c:pt>
                <c:pt idx="67">
                  <c:v>0.45907198495836693</c:v>
                </c:pt>
                <c:pt idx="68">
                  <c:v>0.4993769171779141</c:v>
                </c:pt>
                <c:pt idx="69">
                  <c:v>0.45346869712351945</c:v>
                </c:pt>
                <c:pt idx="70">
                  <c:v>0.51038685255285754</c:v>
                </c:pt>
                <c:pt idx="71">
                  <c:v>0.52442986631348043</c:v>
                </c:pt>
                <c:pt idx="72">
                  <c:v>0.53457009703491909</c:v>
                </c:pt>
                <c:pt idx="73">
                  <c:v>0.53632383956897012</c:v>
                </c:pt>
                <c:pt idx="74">
                  <c:v>0.53362753147235908</c:v>
                </c:pt>
                <c:pt idx="75">
                  <c:v>0.50208255095421805</c:v>
                </c:pt>
                <c:pt idx="76">
                  <c:v>0.53503569319950617</c:v>
                </c:pt>
                <c:pt idx="77">
                  <c:v>0.52464957027278336</c:v>
                </c:pt>
                <c:pt idx="78">
                  <c:v>0.52357610360674001</c:v>
                </c:pt>
                <c:pt idx="79">
                  <c:v>0.51957279624721564</c:v>
                </c:pt>
                <c:pt idx="80">
                  <c:v>0.56967036412809158</c:v>
                </c:pt>
                <c:pt idx="81">
                  <c:v>0.55577655419991756</c:v>
                </c:pt>
                <c:pt idx="82">
                  <c:v>0.55857324936272301</c:v>
                </c:pt>
                <c:pt idx="83">
                  <c:v>0.54594700303119192</c:v>
                </c:pt>
                <c:pt idx="84">
                  <c:v>0.5836358348503291</c:v>
                </c:pt>
                <c:pt idx="85">
                  <c:v>0.58136578800549854</c:v>
                </c:pt>
                <c:pt idx="86">
                  <c:v>0.60293194128267524</c:v>
                </c:pt>
                <c:pt idx="87">
                  <c:v>0.6464960119545573</c:v>
                </c:pt>
              </c:numCache>
            </c:numRef>
          </c:xVal>
          <c:yVal>
            <c:numRef>
              <c:f>Pendling!$F$5:$F$92</c:f>
              <c:numCache>
                <c:formatCode>0.00</c:formatCode>
                <c:ptCount val="88"/>
                <c:pt idx="5">
                  <c:v>40.347922890644917</c:v>
                </c:pt>
                <c:pt idx="20">
                  <c:v>24.603797756059265</c:v>
                </c:pt>
                <c:pt idx="29">
                  <c:v>51.624914736164747</c:v>
                </c:pt>
                <c:pt idx="56">
                  <c:v>94.4</c:v>
                </c:pt>
                <c:pt idx="71">
                  <c:v>37.037775869662923</c:v>
                </c:pt>
                <c:pt idx="78">
                  <c:v>79</c:v>
                </c:pt>
                <c:pt idx="79">
                  <c:v>34.359061958564148</c:v>
                </c:pt>
                <c:pt idx="81">
                  <c:v>18.8</c:v>
                </c:pt>
                <c:pt idx="86">
                  <c:v>85.591736514076956</c:v>
                </c:pt>
                <c:pt idx="87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D0-4F83-B768-8ACD6E32D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629023"/>
        <c:axId val="1354673679"/>
      </c:scatterChart>
      <c:valAx>
        <c:axId val="1646629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Andel dagbefolkning af samlet indbyggertal</a:t>
                </a:r>
              </a:p>
            </c:rich>
          </c:tx>
          <c:layout>
            <c:manualLayout>
              <c:xMode val="edge"/>
              <c:yMode val="edge"/>
              <c:x val="0.27199540682414697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54673679"/>
        <c:crosses val="autoZero"/>
        <c:crossBetween val="midCat"/>
      </c:valAx>
      <c:valAx>
        <c:axId val="1354673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Omkostninger pr. indbygger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466290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Andel i etageboliger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4297310484911971E-2"/>
                  <c:y val="-7.254207194688899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Boligforhold!$J$5:$J$119</c:f>
              <c:numCache>
                <c:formatCode>0%</c:formatCode>
                <c:ptCount val="115"/>
                <c:pt idx="0">
                  <c:v>0.54891111456399599</c:v>
                </c:pt>
                <c:pt idx="1">
                  <c:v>0.83517562409901758</c:v>
                </c:pt>
                <c:pt idx="2">
                  <c:v>0.86311329369767487</c:v>
                </c:pt>
                <c:pt idx="3">
                  <c:v>0.93338215173530148</c:v>
                </c:pt>
                <c:pt idx="4">
                  <c:v>0.14782608695652175</c:v>
                </c:pt>
                <c:pt idx="5">
                  <c:v>0.41904583897948694</c:v>
                </c:pt>
                <c:pt idx="6">
                  <c:v>0.44753045720606871</c:v>
                </c:pt>
                <c:pt idx="7">
                  <c:v>0.29048256887376461</c:v>
                </c:pt>
                <c:pt idx="8">
                  <c:v>0.44122376613202491</c:v>
                </c:pt>
                <c:pt idx="9">
                  <c:v>0.56178810600423557</c:v>
                </c:pt>
                <c:pt idx="10">
                  <c:v>0.49270033814610059</c:v>
                </c:pt>
                <c:pt idx="11">
                  <c:v>0.46030251224247343</c:v>
                </c:pt>
                <c:pt idx="12">
                  <c:v>0.49807338646116123</c:v>
                </c:pt>
                <c:pt idx="13">
                  <c:v>0.35951850821040915</c:v>
                </c:pt>
                <c:pt idx="14">
                  <c:v>0.44753711201079621</c:v>
                </c:pt>
                <c:pt idx="15">
                  <c:v>0.40309463978313775</c:v>
                </c:pt>
                <c:pt idx="16">
                  <c:v>0.52159817751686677</c:v>
                </c:pt>
                <c:pt idx="17">
                  <c:v>0.42136185867100023</c:v>
                </c:pt>
                <c:pt idx="18">
                  <c:v>0.47822009427675904</c:v>
                </c:pt>
                <c:pt idx="19">
                  <c:v>0.36043425814234015</c:v>
                </c:pt>
                <c:pt idx="20">
                  <c:v>0.22031885803927007</c:v>
                </c:pt>
                <c:pt idx="21">
                  <c:v>0.13730255164034022</c:v>
                </c:pt>
                <c:pt idx="22">
                  <c:v>7.7047775642064803E-2</c:v>
                </c:pt>
                <c:pt idx="23">
                  <c:v>0.2274403737398574</c:v>
                </c:pt>
                <c:pt idx="24">
                  <c:v>0.15514064338520969</c:v>
                </c:pt>
                <c:pt idx="25">
                  <c:v>0.26363412835013522</c:v>
                </c:pt>
                <c:pt idx="26">
                  <c:v>6.0182579113536798E-2</c:v>
                </c:pt>
                <c:pt idx="27">
                  <c:v>0.14130330156896717</c:v>
                </c:pt>
                <c:pt idx="28">
                  <c:v>0.37095687331536387</c:v>
                </c:pt>
                <c:pt idx="29">
                  <c:v>0.29382212104560795</c:v>
                </c:pt>
                <c:pt idx="30">
                  <c:v>0.28748080497858242</c:v>
                </c:pt>
                <c:pt idx="31">
                  <c:v>0.2805866392381493</c:v>
                </c:pt>
                <c:pt idx="32">
                  <c:v>8.1812636608549788E-2</c:v>
                </c:pt>
                <c:pt idx="33">
                  <c:v>8.1812636608549788E-2</c:v>
                </c:pt>
                <c:pt idx="34">
                  <c:v>0</c:v>
                </c:pt>
                <c:pt idx="35">
                  <c:v>0.19826768286970872</c:v>
                </c:pt>
                <c:pt idx="36">
                  <c:v>0.22031544369837205</c:v>
                </c:pt>
                <c:pt idx="37">
                  <c:v>0.20573268665023456</c:v>
                </c:pt>
                <c:pt idx="38">
                  <c:v>0.2531237604125347</c:v>
                </c:pt>
                <c:pt idx="39">
                  <c:v>2.954954954954955E-2</c:v>
                </c:pt>
                <c:pt idx="40">
                  <c:v>0.2775955406707345</c:v>
                </c:pt>
                <c:pt idx="41">
                  <c:v>0.17831612390786339</c:v>
                </c:pt>
                <c:pt idx="42">
                  <c:v>0.18889307293360491</c:v>
                </c:pt>
                <c:pt idx="43">
                  <c:v>0.11326194398682043</c:v>
                </c:pt>
                <c:pt idx="44">
                  <c:v>0.17455670239513035</c:v>
                </c:pt>
                <c:pt idx="45">
                  <c:v>0.22343018857351005</c:v>
                </c:pt>
                <c:pt idx="46">
                  <c:v>0.13200786993890443</c:v>
                </c:pt>
                <c:pt idx="47">
                  <c:v>0.14040443510965661</c:v>
                </c:pt>
                <c:pt idx="48">
                  <c:v>0.20923496542318878</c:v>
                </c:pt>
                <c:pt idx="49">
                  <c:v>9.0648796832165701E-2</c:v>
                </c:pt>
                <c:pt idx="50">
                  <c:v>0.28278320340800417</c:v>
                </c:pt>
                <c:pt idx="51">
                  <c:v>0.31465796391065282</c:v>
                </c:pt>
                <c:pt idx="52">
                  <c:v>0.12397083039284874</c:v>
                </c:pt>
                <c:pt idx="53">
                  <c:v>5.9992947192100854E-2</c:v>
                </c:pt>
                <c:pt idx="54">
                  <c:v>0.16994069272659126</c:v>
                </c:pt>
                <c:pt idx="55">
                  <c:v>0.2113241052016864</c:v>
                </c:pt>
                <c:pt idx="56">
                  <c:v>0.21181145242945601</c:v>
                </c:pt>
                <c:pt idx="57">
                  <c:v>8.5867970660146703E-2</c:v>
                </c:pt>
                <c:pt idx="58">
                  <c:v>7.4206944958958063E-2</c:v>
                </c:pt>
                <c:pt idx="59">
                  <c:v>9.7663827275027412E-2</c:v>
                </c:pt>
                <c:pt idx="60">
                  <c:v>7.681799919646444E-2</c:v>
                </c:pt>
                <c:pt idx="61">
                  <c:v>0.11358465198055642</c:v>
                </c:pt>
                <c:pt idx="62">
                  <c:v>5.9223662391282274E-2</c:v>
                </c:pt>
                <c:pt idx="63">
                  <c:v>0.19122757584296046</c:v>
                </c:pt>
                <c:pt idx="64">
                  <c:v>0.35071716928342078</c:v>
                </c:pt>
                <c:pt idx="65">
                  <c:v>0.1814903638779137</c:v>
                </c:pt>
                <c:pt idx="66">
                  <c:v>5.5312710154673837E-2</c:v>
                </c:pt>
                <c:pt idx="67">
                  <c:v>0.21098931855749953</c:v>
                </c:pt>
                <c:pt idx="68">
                  <c:v>0.12000904022901913</c:v>
                </c:pt>
                <c:pt idx="69">
                  <c:v>0.27012418204096528</c:v>
                </c:pt>
                <c:pt idx="70">
                  <c:v>4.5428407130534788E-2</c:v>
                </c:pt>
                <c:pt idx="71">
                  <c:v>0.3250611127407842</c:v>
                </c:pt>
                <c:pt idx="72">
                  <c:v>0.21454787521139937</c:v>
                </c:pt>
                <c:pt idx="73">
                  <c:v>0.25667567887803355</c:v>
                </c:pt>
                <c:pt idx="74">
                  <c:v>0.20355119206999608</c:v>
                </c:pt>
                <c:pt idx="75">
                  <c:v>0.10307923394667667</c:v>
                </c:pt>
                <c:pt idx="76">
                  <c:v>9.9281910601904153E-2</c:v>
                </c:pt>
                <c:pt idx="77">
                  <c:v>7.9784366576819407E-2</c:v>
                </c:pt>
                <c:pt idx="78">
                  <c:v>0.25303876049872187</c:v>
                </c:pt>
                <c:pt idx="79">
                  <c:v>0.15614011129698543</c:v>
                </c:pt>
                <c:pt idx="80">
                  <c:v>0.25096554335478988</c:v>
                </c:pt>
                <c:pt idx="81">
                  <c:v>0.29097926738408275</c:v>
                </c:pt>
                <c:pt idx="82">
                  <c:v>8.5436088667909679E-2</c:v>
                </c:pt>
                <c:pt idx="83">
                  <c:v>7.1998455797194702E-2</c:v>
                </c:pt>
                <c:pt idx="84">
                  <c:v>0.26525070099132314</c:v>
                </c:pt>
                <c:pt idx="85">
                  <c:v>0.13253337657423922</c:v>
                </c:pt>
                <c:pt idx="86">
                  <c:v>0.16018819804766513</c:v>
                </c:pt>
                <c:pt idx="87">
                  <c:v>0.30428821770951447</c:v>
                </c:pt>
                <c:pt idx="88">
                  <c:v>4.7997805814591336E-2</c:v>
                </c:pt>
                <c:pt idx="89">
                  <c:v>0.18635038911959689</c:v>
                </c:pt>
                <c:pt idx="90">
                  <c:v>0.12991880074953155</c:v>
                </c:pt>
                <c:pt idx="91">
                  <c:v>7.9561106571728726E-2</c:v>
                </c:pt>
                <c:pt idx="92">
                  <c:v>0.46297659651564738</c:v>
                </c:pt>
                <c:pt idx="93">
                  <c:v>0.16750984355466239</c:v>
                </c:pt>
                <c:pt idx="94">
                  <c:v>0.22400207127901478</c:v>
                </c:pt>
                <c:pt idx="95">
                  <c:v>0.1876368363437329</c:v>
                </c:pt>
                <c:pt idx="96">
                  <c:v>0.14296456205884492</c:v>
                </c:pt>
                <c:pt idx="97">
                  <c:v>0.1001727115716753</c:v>
                </c:pt>
                <c:pt idx="98">
                  <c:v>8.3317087003526927E-2</c:v>
                </c:pt>
                <c:pt idx="99">
                  <c:v>0.17085438124603644</c:v>
                </c:pt>
                <c:pt idx="100">
                  <c:v>0.17155411214060559</c:v>
                </c:pt>
                <c:pt idx="101">
                  <c:v>0.17428914366127229</c:v>
                </c:pt>
                <c:pt idx="102">
                  <c:v>0.21649358104137534</c:v>
                </c:pt>
                <c:pt idx="103">
                  <c:v>0.21649358104137534</c:v>
                </c:pt>
                <c:pt idx="104">
                  <c:v>0.11224659355267531</c:v>
                </c:pt>
                <c:pt idx="105">
                  <c:v>0.17304593070104754</c:v>
                </c:pt>
                <c:pt idx="106">
                  <c:v>0.14958569559529</c:v>
                </c:pt>
                <c:pt idx="107">
                  <c:v>5.1454021482839923E-2</c:v>
                </c:pt>
                <c:pt idx="108">
                  <c:v>2.1996615905245348E-2</c:v>
                </c:pt>
                <c:pt idx="109">
                  <c:v>0.14311733128834356</c:v>
                </c:pt>
                <c:pt idx="110">
                  <c:v>0.10723661399772152</c:v>
                </c:pt>
                <c:pt idx="111">
                  <c:v>6.6035849936696214E-2</c:v>
                </c:pt>
                <c:pt idx="112">
                  <c:v>0.11360908503369957</c:v>
                </c:pt>
                <c:pt idx="113">
                  <c:v>0.10601131735053716</c:v>
                </c:pt>
                <c:pt idx="114">
                  <c:v>0.38162744278884092</c:v>
                </c:pt>
              </c:numCache>
            </c:numRef>
          </c:xVal>
          <c:yVal>
            <c:numRef>
              <c:f>Boligforhold!$L$5:$L$119</c:f>
              <c:numCache>
                <c:formatCode>General</c:formatCode>
                <c:ptCount val="115"/>
                <c:pt idx="2" formatCode="0">
                  <c:v>105</c:v>
                </c:pt>
                <c:pt idx="27" formatCode="0">
                  <c:v>40.347922890644917</c:v>
                </c:pt>
                <c:pt idx="29" formatCode="0">
                  <c:v>85.591736514076956</c:v>
                </c:pt>
                <c:pt idx="30" formatCode="0">
                  <c:v>51.624914736164747</c:v>
                </c:pt>
                <c:pt idx="40" formatCode="0">
                  <c:v>94.4</c:v>
                </c:pt>
                <c:pt idx="64" formatCode="0">
                  <c:v>34.359061958564148</c:v>
                </c:pt>
                <c:pt idx="82" formatCode="0">
                  <c:v>24.603797756059265</c:v>
                </c:pt>
                <c:pt idx="96" formatCode="0">
                  <c:v>18.8</c:v>
                </c:pt>
                <c:pt idx="101" formatCode="0">
                  <c:v>37.037775869662923</c:v>
                </c:pt>
                <c:pt idx="114" formatCode="0">
                  <c:v>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B9-48E5-87F5-2835EC0E3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851631"/>
        <c:axId val="888231791"/>
      </c:scatterChart>
      <c:valAx>
        <c:axId val="1008851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Personer i boliger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88231791"/>
        <c:crosses val="autoZero"/>
        <c:crossBetween val="midCat"/>
      </c:valAx>
      <c:valAx>
        <c:axId val="888231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omk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08851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7</xdr:row>
      <xdr:rowOff>142875</xdr:rowOff>
    </xdr:from>
    <xdr:to>
      <xdr:col>14</xdr:col>
      <xdr:colOff>161925</xdr:colOff>
      <xdr:row>22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E2C201-37B1-468D-8515-F5B84FF43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485775</xdr:colOff>
      <xdr:row>25</xdr:row>
      <xdr:rowOff>9525</xdr:rowOff>
    </xdr:from>
    <xdr:to>
      <xdr:col>14</xdr:col>
      <xdr:colOff>190500</xdr:colOff>
      <xdr:row>42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04C88D-FF75-4B89-91DB-603A9C49A8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523875</xdr:colOff>
      <xdr:row>3</xdr:row>
      <xdr:rowOff>128587</xdr:rowOff>
    </xdr:from>
    <xdr:to>
      <xdr:col>16</xdr:col>
      <xdr:colOff>219075</xdr:colOff>
      <xdr:row>18</xdr:row>
      <xdr:rowOff>14287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A73A968-E524-46DB-AB05-1369C4DACC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1362076</xdr:colOff>
      <xdr:row>123</xdr:row>
      <xdr:rowOff>19050</xdr:rowOff>
    </xdr:from>
    <xdr:to>
      <xdr:col>11</xdr:col>
      <xdr:colOff>228599</xdr:colOff>
      <xdr:row>136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2F1BA5F-94FD-4BB3-8F19-A0AFA788B8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5"/>
  <sheetViews>
    <sheetView tabSelected="1" topLeftCell="A16" zoomScale="80" zoomScaleNormal="80" workbookViewId="0">
      <selection activeCell="P18" sqref="P18"/>
    </sheetView>
  </sheetViews>
  <sheetFormatPr defaultRowHeight="12.75" x14ac:dyDescent="0.2"/>
  <cols>
    <col min="1" max="1" width="5" style="44" customWidth="1"/>
    <col min="2" max="2" width="44.7109375" style="44" customWidth="1"/>
    <col min="3" max="16" width="20.7109375" style="44" customWidth="1"/>
    <col min="17" max="16384" width="9.140625" style="44"/>
  </cols>
  <sheetData>
    <row r="1" spans="2:8" s="69" customFormat="1" ht="37.5" customHeight="1" x14ac:dyDescent="0.2">
      <c r="B1" s="68" t="s">
        <v>0</v>
      </c>
    </row>
    <row r="2" spans="2:8" ht="14.25" customHeight="1" x14ac:dyDescent="0.2"/>
    <row r="3" spans="2:8" s="70" customFormat="1" ht="18.75" customHeight="1" x14ac:dyDescent="0.2">
      <c r="B3" s="68" t="s">
        <v>1</v>
      </c>
    </row>
    <row r="4" spans="2:8" ht="18.75" customHeight="1" x14ac:dyDescent="0.2">
      <c r="B4" s="163"/>
    </row>
    <row r="5" spans="2:8" ht="18.75" customHeight="1" x14ac:dyDescent="0.2">
      <c r="B5" s="163" t="s">
        <v>233</v>
      </c>
      <c r="C5" s="164"/>
    </row>
    <row r="6" spans="2:8" ht="45.75" customHeight="1" x14ac:dyDescent="0.2">
      <c r="B6" s="71"/>
      <c r="C6" s="72" t="s">
        <v>2</v>
      </c>
      <c r="D6" s="72" t="s">
        <v>3</v>
      </c>
      <c r="E6" s="72" t="s">
        <v>4</v>
      </c>
      <c r="F6" s="73"/>
    </row>
    <row r="7" spans="2:8" x14ac:dyDescent="0.2">
      <c r="B7" s="74" t="s">
        <v>5</v>
      </c>
      <c r="C7" s="147">
        <v>15</v>
      </c>
      <c r="D7" s="148">
        <v>0.7</v>
      </c>
      <c r="E7" s="148">
        <v>0.3</v>
      </c>
      <c r="F7" s="76"/>
    </row>
    <row r="8" spans="2:8" x14ac:dyDescent="0.2">
      <c r="B8" s="74" t="s">
        <v>6</v>
      </c>
      <c r="C8" s="147">
        <v>25</v>
      </c>
      <c r="D8" s="148">
        <v>0.9</v>
      </c>
      <c r="E8" s="148">
        <v>0.1</v>
      </c>
      <c r="F8" s="76"/>
    </row>
    <row r="9" spans="2:8" x14ac:dyDescent="0.2">
      <c r="B9" s="74" t="s">
        <v>7</v>
      </c>
      <c r="C9" s="77"/>
      <c r="D9" s="75">
        <v>0.9</v>
      </c>
      <c r="E9" s="75">
        <v>0.1</v>
      </c>
    </row>
    <row r="11" spans="2:8" x14ac:dyDescent="0.2">
      <c r="C11" s="78" t="s">
        <v>8</v>
      </c>
    </row>
    <row r="12" spans="2:8" x14ac:dyDescent="0.2">
      <c r="B12" s="74" t="s">
        <v>9</v>
      </c>
      <c r="C12" s="149">
        <v>0.1</v>
      </c>
    </row>
    <row r="13" spans="2:8" x14ac:dyDescent="0.2">
      <c r="B13" s="74" t="s">
        <v>10</v>
      </c>
      <c r="C13" s="149">
        <v>0.82</v>
      </c>
    </row>
    <row r="16" spans="2:8" ht="25.5" x14ac:dyDescent="0.2">
      <c r="B16" s="79" t="s">
        <v>11</v>
      </c>
      <c r="C16" s="80" t="s">
        <v>12</v>
      </c>
      <c r="D16" s="81" t="s">
        <v>13</v>
      </c>
      <c r="E16" s="81" t="s">
        <v>14</v>
      </c>
      <c r="F16" s="81" t="s">
        <v>15</v>
      </c>
      <c r="G16" s="81" t="s">
        <v>16</v>
      </c>
      <c r="H16" s="82" t="s">
        <v>17</v>
      </c>
    </row>
    <row r="17" spans="2:11" x14ac:dyDescent="0.2">
      <c r="B17" s="83" t="str">
        <f>B7</f>
        <v>Tømning af skraldespande</v>
      </c>
      <c r="C17" s="84">
        <f>C7*C$37/1000000</f>
        <v>86.879324999999994</v>
      </c>
      <c r="D17" s="85">
        <f t="shared" ref="D17:E19" si="0">$C17*D7</f>
        <v>60.815527499999995</v>
      </c>
      <c r="E17" s="85">
        <f t="shared" si="0"/>
        <v>26.063797499999996</v>
      </c>
      <c r="F17" s="142">
        <f>D17*$C$12</f>
        <v>6.0815527500000002</v>
      </c>
      <c r="G17" s="143">
        <f>E17*$C$13</f>
        <v>21.372313949999995</v>
      </c>
      <c r="H17" s="85">
        <f>F17+G17</f>
        <v>27.453866699999995</v>
      </c>
    </row>
    <row r="18" spans="2:11" x14ac:dyDescent="0.2">
      <c r="B18" s="83" t="str">
        <f>B8</f>
        <v>Renhold af pladser</v>
      </c>
      <c r="C18" s="84">
        <f>C8*C$37/1000000</f>
        <v>144.79887500000001</v>
      </c>
      <c r="D18" s="85">
        <f t="shared" si="0"/>
        <v>130.31898750000002</v>
      </c>
      <c r="E18" s="85">
        <f t="shared" si="0"/>
        <v>14.479887500000002</v>
      </c>
      <c r="F18" s="142">
        <f>D18*$C$12</f>
        <v>13.031898750000003</v>
      </c>
      <c r="G18" s="143">
        <f t="shared" ref="G18:G19" si="1">E18*$C$13</f>
        <v>11.873507750000002</v>
      </c>
      <c r="H18" s="85">
        <f t="shared" ref="H18:H19" si="2">F18+G18</f>
        <v>24.905406500000005</v>
      </c>
    </row>
    <row r="19" spans="2:11" x14ac:dyDescent="0.2">
      <c r="B19" s="83" t="str">
        <f>B9</f>
        <v>Renhold af grønne arealer</v>
      </c>
      <c r="C19" s="84">
        <f>C9*C$37/1000000</f>
        <v>0</v>
      </c>
      <c r="D19" s="85">
        <f t="shared" si="0"/>
        <v>0</v>
      </c>
      <c r="E19" s="85">
        <f t="shared" si="0"/>
        <v>0</v>
      </c>
      <c r="F19" s="142">
        <f t="shared" ref="F19" si="3">D19*$C$12</f>
        <v>0</v>
      </c>
      <c r="G19" s="143">
        <f t="shared" si="1"/>
        <v>0</v>
      </c>
      <c r="H19" s="77">
        <f t="shared" si="2"/>
        <v>0</v>
      </c>
    </row>
    <row r="20" spans="2:11" x14ac:dyDescent="0.2">
      <c r="B20" s="83" t="s">
        <v>18</v>
      </c>
      <c r="C20" s="86">
        <f>SUM(C17:C19)</f>
        <v>231.6782</v>
      </c>
      <c r="D20" s="85">
        <f t="shared" ref="D20:E20" si="4">SUM(D17:D19)</f>
        <v>191.13451500000002</v>
      </c>
      <c r="E20" s="85">
        <f t="shared" si="4"/>
        <v>40.543684999999996</v>
      </c>
      <c r="F20" s="87">
        <f>SUM(F17:F19)</f>
        <v>19.113451500000004</v>
      </c>
      <c r="G20" s="88">
        <f>SUM(G17:G19)</f>
        <v>33.245821699999993</v>
      </c>
      <c r="H20" s="89">
        <f>SUM(H17:H19)</f>
        <v>52.359273200000004</v>
      </c>
    </row>
    <row r="21" spans="2:11" x14ac:dyDescent="0.2">
      <c r="B21" s="83" t="s">
        <v>19</v>
      </c>
      <c r="C21" s="90"/>
      <c r="D21" s="91"/>
      <c r="E21" s="91"/>
      <c r="F21" s="92"/>
      <c r="G21" s="92"/>
      <c r="H21" s="150"/>
    </row>
    <row r="22" spans="2:11" x14ac:dyDescent="0.2">
      <c r="B22" s="83" t="s">
        <v>20</v>
      </c>
      <c r="C22" s="90"/>
      <c r="D22" s="91"/>
      <c r="E22" s="91"/>
      <c r="F22" s="92"/>
      <c r="G22" s="92"/>
      <c r="H22" s="150"/>
    </row>
    <row r="23" spans="2:11" x14ac:dyDescent="0.2">
      <c r="B23" s="83" t="s">
        <v>226</v>
      </c>
      <c r="C23" s="90"/>
      <c r="D23" s="91"/>
      <c r="E23" s="91"/>
      <c r="F23" s="92"/>
      <c r="G23" s="92"/>
      <c r="H23" s="89">
        <f>C27</f>
        <v>0</v>
      </c>
    </row>
    <row r="24" spans="2:11" x14ac:dyDescent="0.2">
      <c r="B24" s="83" t="s">
        <v>21</v>
      </c>
      <c r="C24" s="90"/>
      <c r="D24" s="91"/>
      <c r="E24" s="91"/>
      <c r="F24" s="92"/>
      <c r="G24" s="92"/>
      <c r="H24" s="116">
        <f>SUM(H20:H23)</f>
        <v>52.359273200000004</v>
      </c>
    </row>
    <row r="25" spans="2:11" x14ac:dyDescent="0.2">
      <c r="B25" s="93"/>
      <c r="C25" s="90"/>
      <c r="D25" s="91"/>
      <c r="E25" s="91"/>
      <c r="F25" s="92"/>
      <c r="G25" s="92"/>
      <c r="H25" s="90"/>
    </row>
    <row r="26" spans="2:11" s="97" customFormat="1" ht="25.5" x14ac:dyDescent="0.2">
      <c r="B26" s="144" t="s">
        <v>226</v>
      </c>
      <c r="C26" s="101" t="s">
        <v>22</v>
      </c>
      <c r="D26" s="100" t="str">
        <f>'Fordeling efter plast'!$B$7</f>
        <v>Tobaksfiltre</v>
      </c>
      <c r="E26" s="100" t="str">
        <f>'Fordeling efter plast'!$B$8</f>
        <v>Fødevarebeholdere</v>
      </c>
      <c r="F26" s="100" t="str">
        <f>'Fordeling efter plast'!$B$9</f>
        <v>Indpakningsposer og -folier</v>
      </c>
      <c r="G26" s="100" t="str">
        <f>'Fordeling efter plast'!$B$10</f>
        <v>Drikkevarebeholdere</v>
      </c>
      <c r="H26" s="100" t="str">
        <f>'Fordeling efter plast'!$B$11</f>
        <v>Drikkebægre inkl. kapsler og låg</v>
      </c>
      <c r="I26" s="100" t="str">
        <f>'Fordeling efter plast'!$B$12</f>
        <v>Letvægtsplast  bæreposer</v>
      </c>
      <c r="J26" s="100" t="str">
        <f>'Fordeling efter plast'!$B$13</f>
        <v>Vådservietter</v>
      </c>
      <c r="K26" s="100" t="str">
        <f>'Fordeling efter plast'!$B$14</f>
        <v>Balloner</v>
      </c>
    </row>
    <row r="27" spans="2:11" x14ac:dyDescent="0.2">
      <c r="B27" s="74" t="s">
        <v>23</v>
      </c>
      <c r="C27" s="77">
        <f>SUM($D$27:$K$27)</f>
        <v>0</v>
      </c>
      <c r="D27" s="153"/>
      <c r="E27" s="153"/>
      <c r="F27" s="153"/>
      <c r="G27" s="153"/>
      <c r="H27" s="153"/>
      <c r="I27" s="153"/>
      <c r="J27" s="153"/>
      <c r="K27" s="153"/>
    </row>
    <row r="28" spans="2:11" x14ac:dyDescent="0.2">
      <c r="B28" s="159" t="s">
        <v>232</v>
      </c>
      <c r="C28" s="160"/>
      <c r="D28" s="161"/>
      <c r="E28" s="161"/>
      <c r="F28" s="161"/>
      <c r="G28" s="161"/>
      <c r="H28" s="161"/>
      <c r="I28" s="161"/>
      <c r="J28" s="161"/>
      <c r="K28" s="161"/>
    </row>
    <row r="29" spans="2:11" x14ac:dyDescent="0.2">
      <c r="B29" s="93"/>
      <c r="C29" s="94"/>
      <c r="H29" s="71"/>
    </row>
    <row r="30" spans="2:11" x14ac:dyDescent="0.2">
      <c r="B30" s="57"/>
      <c r="C30" s="95" t="s">
        <v>24</v>
      </c>
    </row>
    <row r="31" spans="2:11" x14ac:dyDescent="0.2">
      <c r="B31" s="58" t="s">
        <v>25</v>
      </c>
      <c r="C31" s="96" t="s">
        <v>26</v>
      </c>
    </row>
    <row r="33" spans="2:16" s="70" customFormat="1" ht="18.75" customHeight="1" x14ac:dyDescent="0.2">
      <c r="B33" s="68" t="s">
        <v>27</v>
      </c>
    </row>
    <row r="35" spans="2:16" ht="28.5" customHeight="1" x14ac:dyDescent="0.2">
      <c r="B35" s="167" t="s">
        <v>28</v>
      </c>
      <c r="C35" s="166" t="s">
        <v>29</v>
      </c>
      <c r="D35" s="166"/>
      <c r="E35" s="166" t="s">
        <v>30</v>
      </c>
      <c r="F35" s="166"/>
      <c r="G35" s="166" t="s">
        <v>31</v>
      </c>
      <c r="H35" s="166"/>
      <c r="I35" s="166" t="s">
        <v>32</v>
      </c>
      <c r="J35" s="166"/>
      <c r="K35" s="166" t="s">
        <v>33</v>
      </c>
      <c r="L35" s="166"/>
      <c r="M35" s="107" t="s">
        <v>34</v>
      </c>
      <c r="N35" s="107" t="s">
        <v>159</v>
      </c>
      <c r="O35" s="162" t="s">
        <v>160</v>
      </c>
      <c r="P35" s="162" t="s">
        <v>234</v>
      </c>
    </row>
    <row r="36" spans="2:16" s="97" customFormat="1" ht="25.5" x14ac:dyDescent="0.2">
      <c r="B36" s="167"/>
      <c r="C36" s="107" t="s">
        <v>35</v>
      </c>
      <c r="D36" s="107" t="s">
        <v>36</v>
      </c>
      <c r="E36" s="112" t="s">
        <v>37</v>
      </c>
      <c r="F36" s="112" t="s">
        <v>38</v>
      </c>
      <c r="G36" s="112" t="s">
        <v>39</v>
      </c>
      <c r="H36" s="112" t="s">
        <v>40</v>
      </c>
      <c r="I36" s="112" t="s">
        <v>39</v>
      </c>
      <c r="J36" s="112" t="s">
        <v>41</v>
      </c>
      <c r="K36" s="112" t="s">
        <v>39</v>
      </c>
      <c r="L36" s="112" t="s">
        <v>40</v>
      </c>
      <c r="M36" s="113" t="s">
        <v>42</v>
      </c>
      <c r="N36" s="113" t="s">
        <v>42</v>
      </c>
      <c r="O36" s="165" t="s">
        <v>42</v>
      </c>
      <c r="P36" s="165" t="s">
        <v>42</v>
      </c>
    </row>
    <row r="37" spans="2:16" s="97" customFormat="1" x14ac:dyDescent="0.2">
      <c r="B37" s="108" t="s">
        <v>43</v>
      </c>
      <c r="C37" s="98">
        <f>SUM(C38:C135)</f>
        <v>5791955</v>
      </c>
      <c r="D37" s="107"/>
      <c r="E37" s="114">
        <f>SUM(E38:E135)</f>
        <v>52359.273199999974</v>
      </c>
      <c r="F37" s="114"/>
      <c r="G37" s="141">
        <f>SUM(G38:G135)</f>
        <v>19217.706689999999</v>
      </c>
      <c r="H37" s="141">
        <f t="shared" ref="H37:N37" si="5">SUM(H38:H135)</f>
        <v>8236.1600099999996</v>
      </c>
      <c r="I37" s="141">
        <f t="shared" si="5"/>
        <v>22414.86585000002</v>
      </c>
      <c r="J37" s="141">
        <f t="shared" si="5"/>
        <v>2490.5406500000004</v>
      </c>
      <c r="K37" s="141">
        <f t="shared" si="5"/>
        <v>0</v>
      </c>
      <c r="L37" s="141">
        <f t="shared" si="5"/>
        <v>0</v>
      </c>
      <c r="M37" s="114">
        <f t="shared" si="5"/>
        <v>0</v>
      </c>
      <c r="N37" s="114">
        <f t="shared" si="5"/>
        <v>0</v>
      </c>
      <c r="O37" s="114"/>
      <c r="P37" s="151"/>
    </row>
    <row r="38" spans="2:16" x14ac:dyDescent="0.2">
      <c r="B38" s="99" t="s">
        <v>44</v>
      </c>
      <c r="C38" s="77">
        <f>IFERROR(VLOOKUP(B38,Belastningsfaktor!$B$9:$E$108,2,FALSE),"")</f>
        <v>626372</v>
      </c>
      <c r="D38" s="89">
        <f>IF($C$31="Ja",IFERROR(VLOOKUP(B38,Belastningsfaktor!$B$9:$F$108,3,FALSE),""),1)</f>
        <v>1.8978695723620067</v>
      </c>
      <c r="E38" s="115">
        <f>$H$24*(C38/$C$37)*D38*1000</f>
        <v>10746.502132406995</v>
      </c>
      <c r="F38" s="85">
        <f>E38/C38*1000</f>
        <v>17.156740934152541</v>
      </c>
      <c r="G38" s="85">
        <f t="shared" ref="G38:G69" si="6">$E38*($H$17/$H$24)*$D$7</f>
        <v>3944.346689748495</v>
      </c>
      <c r="H38" s="85">
        <f t="shared" ref="H38:H69" si="7">$E38*($H$17/$H$24)*$E$7</f>
        <v>1690.4342956064979</v>
      </c>
      <c r="I38" s="85">
        <f t="shared" ref="I38:I69" si="8">$E38*($H$18/$H$24)*$D$8</f>
        <v>4600.5490323468002</v>
      </c>
      <c r="J38" s="85">
        <f t="shared" ref="J38:J69" si="9">$E38*($H$18/$H$24)*$E$8</f>
        <v>511.1721147052001</v>
      </c>
      <c r="K38" s="85">
        <f t="shared" ref="K38:K69" si="10">$E38*($H$19/$H$24)*$D$9</f>
        <v>0</v>
      </c>
      <c r="L38" s="85">
        <f t="shared" ref="L38:L69" si="11">$E38*($H$19/$H$24)*$E$9</f>
        <v>0</v>
      </c>
      <c r="M38" s="85">
        <f>$E38*($H$21/$H$24)</f>
        <v>0</v>
      </c>
      <c r="N38" s="85">
        <f>$E38*(($H$22+$H$23)/$H$24)</f>
        <v>0</v>
      </c>
      <c r="O38" s="85"/>
      <c r="P38" s="152"/>
    </row>
    <row r="39" spans="2:16" x14ac:dyDescent="0.2">
      <c r="B39" s="99" t="s">
        <v>45</v>
      </c>
      <c r="C39" s="77">
        <f>IFERROR(VLOOKUP(B39,Belastningsfaktor!$B$9:$E$108,2,FALSE),"")</f>
        <v>103786</v>
      </c>
      <c r="D39" s="89">
        <f>IF($C$31="Ja",IFERROR(VLOOKUP(B39,Belastningsfaktor!$B$9:$F$108,3,FALSE),""),1)</f>
        <v>1.8865356200369368</v>
      </c>
      <c r="E39" s="115">
        <f>$H$24*(C39/$C$37)*D39*1000</f>
        <v>1769.9957121848279</v>
      </c>
      <c r="F39" s="85">
        <f t="shared" ref="F39:F102" si="12">E39/C39*1000</f>
        <v>17.054282005133906</v>
      </c>
      <c r="G39" s="85">
        <f t="shared" si="6"/>
        <v>649.65108108730715</v>
      </c>
      <c r="H39" s="85">
        <f t="shared" si="7"/>
        <v>278.42189189456025</v>
      </c>
      <c r="I39" s="85">
        <f t="shared" si="8"/>
        <v>757.73046528266434</v>
      </c>
      <c r="J39" s="85">
        <f t="shared" si="9"/>
        <v>84.192273920296032</v>
      </c>
      <c r="K39" s="85">
        <f t="shared" si="10"/>
        <v>0</v>
      </c>
      <c r="L39" s="85">
        <f t="shared" si="11"/>
        <v>0</v>
      </c>
      <c r="M39" s="85">
        <f t="shared" ref="M39:M102" si="13">$E39*($H$21/$H$24)</f>
        <v>0</v>
      </c>
      <c r="N39" s="85">
        <f t="shared" ref="N39:N102" si="14">$E39*(($H$22+$H$23)/$H$24)</f>
        <v>0</v>
      </c>
      <c r="O39" s="85"/>
      <c r="P39" s="152"/>
    </row>
    <row r="40" spans="2:16" x14ac:dyDescent="0.2">
      <c r="B40" s="99" t="s">
        <v>46</v>
      </c>
      <c r="C40" s="77">
        <f>IFERROR(VLOOKUP(B40,Belastningsfaktor!$B$9:$E$108,2,FALSE),"")</f>
        <v>14375</v>
      </c>
      <c r="D40" s="89">
        <f>IF($C$31="Ja",IFERROR(VLOOKUP(B40,Belastningsfaktor!$B$9:$F$108,3,FALSE),""),1)</f>
        <v>0.58882397275642973</v>
      </c>
      <c r="E40" s="115">
        <f t="shared" ref="E40:E102" si="15">$H$24*(C40/$C$37)*D40*1000</f>
        <v>76.517675259698052</v>
      </c>
      <c r="F40" s="85">
        <f t="shared" si="12"/>
        <v>5.322968713718125</v>
      </c>
      <c r="G40" s="85">
        <f t="shared" si="6"/>
        <v>28.084695410583855</v>
      </c>
      <c r="H40" s="85">
        <f t="shared" si="7"/>
        <v>12.036298033107368</v>
      </c>
      <c r="I40" s="85">
        <f t="shared" si="8"/>
        <v>32.757013634406142</v>
      </c>
      <c r="J40" s="85">
        <f t="shared" si="9"/>
        <v>3.6396681816006828</v>
      </c>
      <c r="K40" s="85">
        <f t="shared" si="10"/>
        <v>0</v>
      </c>
      <c r="L40" s="85">
        <f t="shared" si="11"/>
        <v>0</v>
      </c>
      <c r="M40" s="85">
        <f t="shared" si="13"/>
        <v>0</v>
      </c>
      <c r="N40" s="85">
        <f t="shared" si="14"/>
        <v>0</v>
      </c>
      <c r="O40" s="85"/>
      <c r="P40" s="152"/>
    </row>
    <row r="41" spans="2:16" x14ac:dyDescent="0.2">
      <c r="B41" s="99" t="s">
        <v>47</v>
      </c>
      <c r="C41" s="77">
        <f>IFERROR(VLOOKUP(B41,Belastningsfaktor!$B$9:$E$108,2,FALSE),"")</f>
        <v>42802</v>
      </c>
      <c r="D41" s="89">
        <f>IF($C$31="Ja",IFERROR(VLOOKUP(B41,Belastningsfaktor!$B$9:$F$108,3,FALSE),""),1)</f>
        <v>1.2077877686603771</v>
      </c>
      <c r="E41" s="115">
        <f t="shared" si="15"/>
        <v>467.32941795078119</v>
      </c>
      <c r="F41" s="85">
        <f t="shared" si="12"/>
        <v>10.918401428689808</v>
      </c>
      <c r="G41" s="85">
        <f t="shared" si="6"/>
        <v>171.52643902220041</v>
      </c>
      <c r="H41" s="85">
        <f t="shared" si="7"/>
        <v>73.511331009514464</v>
      </c>
      <c r="I41" s="85">
        <f t="shared" si="8"/>
        <v>200.06248312715968</v>
      </c>
      <c r="J41" s="85">
        <f t="shared" si="9"/>
        <v>22.229164791906634</v>
      </c>
      <c r="K41" s="85">
        <f t="shared" si="10"/>
        <v>0</v>
      </c>
      <c r="L41" s="85">
        <f t="shared" si="11"/>
        <v>0</v>
      </c>
      <c r="M41" s="85">
        <f t="shared" si="13"/>
        <v>0</v>
      </c>
      <c r="N41" s="85">
        <f t="shared" si="14"/>
        <v>0</v>
      </c>
      <c r="O41" s="85"/>
      <c r="P41" s="152"/>
    </row>
    <row r="42" spans="2:16" x14ac:dyDescent="0.2">
      <c r="B42" s="99" t="s">
        <v>48</v>
      </c>
      <c r="C42" s="77">
        <f>IFERROR(VLOOKUP(B42,Belastningsfaktor!$B$9:$E$108,2,FALSE),"")</f>
        <v>27623</v>
      </c>
      <c r="D42" s="89">
        <f>IF($C$31="Ja",IFERROR(VLOOKUP(B42,Belastningsfaktor!$B$9:$F$108,3,FALSE),""),1)</f>
        <v>1.0724107413817072</v>
      </c>
      <c r="E42" s="115">
        <f t="shared" si="15"/>
        <v>267.79374525904962</v>
      </c>
      <c r="F42" s="85">
        <f t="shared" si="12"/>
        <v>9.6945931020906357</v>
      </c>
      <c r="G42" s="85">
        <f t="shared" si="6"/>
        <v>98.289783934682134</v>
      </c>
      <c r="H42" s="85">
        <f t="shared" si="7"/>
        <v>42.124193114863772</v>
      </c>
      <c r="I42" s="85">
        <f t="shared" si="8"/>
        <v>114.64179138855334</v>
      </c>
      <c r="J42" s="85">
        <f t="shared" si="9"/>
        <v>12.737976820950372</v>
      </c>
      <c r="K42" s="85">
        <f t="shared" si="10"/>
        <v>0</v>
      </c>
      <c r="L42" s="85">
        <f t="shared" si="11"/>
        <v>0</v>
      </c>
      <c r="M42" s="85">
        <f t="shared" si="13"/>
        <v>0</v>
      </c>
      <c r="N42" s="85">
        <f t="shared" si="14"/>
        <v>0</v>
      </c>
      <c r="O42" s="85"/>
      <c r="P42" s="152"/>
    </row>
    <row r="43" spans="2:16" x14ac:dyDescent="0.2">
      <c r="B43" s="99" t="s">
        <v>49</v>
      </c>
      <c r="C43" s="77">
        <f>IFERROR(VLOOKUP(B43,Belastningsfaktor!$B$9:$E$108,2,FALSE),"")</f>
        <v>48506</v>
      </c>
      <c r="D43" s="89">
        <f>IF($C$31="Ja",IFERROR(VLOOKUP(B43,Belastningsfaktor!$B$9:$F$108,3,FALSE),""),1)</f>
        <v>1.3726000533724307</v>
      </c>
      <c r="E43" s="115">
        <f t="shared" si="15"/>
        <v>601.87721722750348</v>
      </c>
      <c r="F43" s="85">
        <f t="shared" si="12"/>
        <v>12.408304482486775</v>
      </c>
      <c r="G43" s="85">
        <f t="shared" si="6"/>
        <v>220.91024411071416</v>
      </c>
      <c r="H43" s="85">
        <f t="shared" si="7"/>
        <v>94.675818904591793</v>
      </c>
      <c r="I43" s="85">
        <f t="shared" si="8"/>
        <v>257.66203879097776</v>
      </c>
      <c r="J43" s="85">
        <f t="shared" si="9"/>
        <v>28.629115421219751</v>
      </c>
      <c r="K43" s="85">
        <f t="shared" si="10"/>
        <v>0</v>
      </c>
      <c r="L43" s="85">
        <f t="shared" si="11"/>
        <v>0</v>
      </c>
      <c r="M43" s="85">
        <f t="shared" si="13"/>
        <v>0</v>
      </c>
      <c r="N43" s="85">
        <f t="shared" si="14"/>
        <v>0</v>
      </c>
      <c r="O43" s="85"/>
      <c r="P43" s="152"/>
    </row>
    <row r="44" spans="2:16" x14ac:dyDescent="0.2">
      <c r="B44" s="99" t="s">
        <v>50</v>
      </c>
      <c r="C44" s="77">
        <f>IFERROR(VLOOKUP(B44,Belastningsfaktor!$B$9:$E$108,2,FALSE),"")</f>
        <v>34942</v>
      </c>
      <c r="D44" s="89">
        <f>IF($C$31="Ja",IFERROR(VLOOKUP(B44,Belastningsfaktor!$B$9:$F$108,3,FALSE),""),1)</f>
        <v>1.4698268803767909</v>
      </c>
      <c r="E44" s="115">
        <f t="shared" si="15"/>
        <v>464.28256532129751</v>
      </c>
      <c r="F44" s="85">
        <f t="shared" si="12"/>
        <v>13.287234998606191</v>
      </c>
      <c r="G44" s="85">
        <f t="shared" si="6"/>
        <v>170.40813625398945</v>
      </c>
      <c r="H44" s="85">
        <f t="shared" si="7"/>
        <v>73.032058394566903</v>
      </c>
      <c r="I44" s="85">
        <f t="shared" si="8"/>
        <v>198.75813360546701</v>
      </c>
      <c r="J44" s="85">
        <f t="shared" si="9"/>
        <v>22.084237067274113</v>
      </c>
      <c r="K44" s="85">
        <f t="shared" si="10"/>
        <v>0</v>
      </c>
      <c r="L44" s="85">
        <f t="shared" si="11"/>
        <v>0</v>
      </c>
      <c r="M44" s="85">
        <f t="shared" si="13"/>
        <v>0</v>
      </c>
      <c r="N44" s="85">
        <f t="shared" si="14"/>
        <v>0</v>
      </c>
      <c r="O44" s="85"/>
      <c r="P44" s="152"/>
    </row>
    <row r="45" spans="2:16" x14ac:dyDescent="0.2">
      <c r="B45" s="99" t="s">
        <v>51</v>
      </c>
      <c r="C45" s="77">
        <f>IFERROR(VLOOKUP(B45,Belastningsfaktor!$B$9:$E$108,2,FALSE),"")</f>
        <v>74524</v>
      </c>
      <c r="D45" s="89">
        <f>IF($C$31="Ja",IFERROR(VLOOKUP(B45,Belastningsfaktor!$B$9:$F$108,3,FALSE),""),1)</f>
        <v>1.2738768237099001</v>
      </c>
      <c r="E45" s="115">
        <f t="shared" si="15"/>
        <v>858.20694354781563</v>
      </c>
      <c r="F45" s="85">
        <f t="shared" si="12"/>
        <v>11.515846486337498</v>
      </c>
      <c r="G45" s="85">
        <f t="shared" si="6"/>
        <v>314.9923272888995</v>
      </c>
      <c r="H45" s="85">
        <f t="shared" si="7"/>
        <v>134.99671169524265</v>
      </c>
      <c r="I45" s="85">
        <f t="shared" si="8"/>
        <v>367.39611410730606</v>
      </c>
      <c r="J45" s="85">
        <f t="shared" si="9"/>
        <v>40.821790456367346</v>
      </c>
      <c r="K45" s="85">
        <f t="shared" si="10"/>
        <v>0</v>
      </c>
      <c r="L45" s="85">
        <f t="shared" si="11"/>
        <v>0</v>
      </c>
      <c r="M45" s="85">
        <f t="shared" si="13"/>
        <v>0</v>
      </c>
      <c r="N45" s="85">
        <f t="shared" si="14"/>
        <v>0</v>
      </c>
      <c r="O45" s="85"/>
      <c r="P45" s="152"/>
    </row>
    <row r="46" spans="2:16" x14ac:dyDescent="0.2">
      <c r="B46" s="99" t="s">
        <v>52</v>
      </c>
      <c r="C46" s="77">
        <f>IFERROR(VLOOKUP(B46,Belastningsfaktor!$B$9:$E$108,2,FALSE),"")</f>
        <v>69022</v>
      </c>
      <c r="D46" s="89">
        <f>IF($C$31="Ja",IFERROR(VLOOKUP(B46,Belastningsfaktor!$B$9:$F$108,3,FALSE),""),1)</f>
        <v>1.275359148798036</v>
      </c>
      <c r="E46" s="115">
        <f t="shared" si="15"/>
        <v>795.77166608177583</v>
      </c>
      <c r="F46" s="85">
        <f t="shared" si="12"/>
        <v>11.529246705134245</v>
      </c>
      <c r="G46" s="85">
        <f t="shared" si="6"/>
        <v>292.07637036054547</v>
      </c>
      <c r="H46" s="85">
        <f t="shared" si="7"/>
        <v>125.17558729737664</v>
      </c>
      <c r="I46" s="85">
        <f t="shared" si="8"/>
        <v>340.66773758146826</v>
      </c>
      <c r="J46" s="85">
        <f t="shared" si="9"/>
        <v>37.851970842385363</v>
      </c>
      <c r="K46" s="85">
        <f t="shared" si="10"/>
        <v>0</v>
      </c>
      <c r="L46" s="85">
        <f t="shared" si="11"/>
        <v>0</v>
      </c>
      <c r="M46" s="85">
        <f t="shared" si="13"/>
        <v>0</v>
      </c>
      <c r="N46" s="85">
        <f t="shared" si="14"/>
        <v>0</v>
      </c>
      <c r="O46" s="85"/>
      <c r="P46" s="152"/>
    </row>
    <row r="47" spans="2:16" x14ac:dyDescent="0.2">
      <c r="B47" s="99" t="s">
        <v>53</v>
      </c>
      <c r="C47" s="77">
        <f>IFERROR(VLOOKUP(B47,Belastningsfaktor!$B$9:$E$108,2,FALSE),"")</f>
        <v>22838</v>
      </c>
      <c r="D47" s="89">
        <f>IF($C$31="Ja",IFERROR(VLOOKUP(B47,Belastningsfaktor!$B$9:$F$108,3,FALSE),""),1)</f>
        <v>1.4938251701232848</v>
      </c>
      <c r="E47" s="115">
        <f t="shared" si="15"/>
        <v>308.4084522868913</v>
      </c>
      <c r="F47" s="85">
        <f t="shared" si="12"/>
        <v>13.504179537914498</v>
      </c>
      <c r="G47" s="85">
        <f t="shared" si="6"/>
        <v>113.19681910264435</v>
      </c>
      <c r="H47" s="85">
        <f t="shared" si="7"/>
        <v>48.512922472561868</v>
      </c>
      <c r="I47" s="85">
        <f t="shared" si="8"/>
        <v>132.02883964051654</v>
      </c>
      <c r="J47" s="85">
        <f t="shared" si="9"/>
        <v>14.669871071168505</v>
      </c>
      <c r="K47" s="85">
        <f t="shared" si="10"/>
        <v>0</v>
      </c>
      <c r="L47" s="85">
        <f t="shared" si="11"/>
        <v>0</v>
      </c>
      <c r="M47" s="85">
        <f t="shared" si="13"/>
        <v>0</v>
      </c>
      <c r="N47" s="85">
        <f t="shared" si="14"/>
        <v>0</v>
      </c>
      <c r="O47" s="85"/>
      <c r="P47" s="152"/>
    </row>
    <row r="48" spans="2:16" x14ac:dyDescent="0.2">
      <c r="B48" s="99" t="s">
        <v>54</v>
      </c>
      <c r="C48" s="77">
        <f>IFERROR(VLOOKUP(B48,Belastningsfaktor!$B$9:$E$108,2,FALSE),"")</f>
        <v>28744</v>
      </c>
      <c r="D48" s="89">
        <f>IF($C$31="Ja",IFERROR(VLOOKUP(B48,Belastningsfaktor!$B$9:$F$108,3,FALSE),""),1)</f>
        <v>1.2053071592623095</v>
      </c>
      <c r="E48" s="115">
        <f t="shared" si="15"/>
        <v>313.19395483195586</v>
      </c>
      <c r="F48" s="85">
        <f t="shared" si="12"/>
        <v>10.895976719731278</v>
      </c>
      <c r="G48" s="85">
        <f t="shared" si="6"/>
        <v>114.95326793500324</v>
      </c>
      <c r="H48" s="85">
        <f t="shared" si="7"/>
        <v>49.265686257858533</v>
      </c>
      <c r="I48" s="85">
        <f t="shared" si="8"/>
        <v>134.07750057518467</v>
      </c>
      <c r="J48" s="85">
        <f t="shared" si="9"/>
        <v>14.897500063909408</v>
      </c>
      <c r="K48" s="85">
        <f t="shared" si="10"/>
        <v>0</v>
      </c>
      <c r="L48" s="85">
        <f t="shared" si="11"/>
        <v>0</v>
      </c>
      <c r="M48" s="85">
        <f t="shared" si="13"/>
        <v>0</v>
      </c>
      <c r="N48" s="85">
        <f t="shared" si="14"/>
        <v>0</v>
      </c>
      <c r="O48" s="85"/>
      <c r="P48" s="152"/>
    </row>
    <row r="49" spans="2:16" x14ac:dyDescent="0.2">
      <c r="B49" s="99" t="s">
        <v>55</v>
      </c>
      <c r="C49" s="77">
        <f>IFERROR(VLOOKUP(B49,Belastningsfaktor!$B$9:$E$108,2,FALSE),"")</f>
        <v>53352</v>
      </c>
      <c r="D49" s="89">
        <f>IF($C$31="Ja",IFERROR(VLOOKUP(B49,Belastningsfaktor!$B$9:$F$108,3,FALSE),""),1)</f>
        <v>1.2163592244146026</v>
      </c>
      <c r="E49" s="115">
        <f t="shared" si="15"/>
        <v>586.65258396234969</v>
      </c>
      <c r="F49" s="85">
        <f t="shared" si="12"/>
        <v>10.99588738870801</v>
      </c>
      <c r="G49" s="85">
        <f t="shared" si="6"/>
        <v>215.32226477733138</v>
      </c>
      <c r="H49" s="85">
        <f t="shared" si="7"/>
        <v>92.280970618856301</v>
      </c>
      <c r="I49" s="85">
        <f t="shared" si="8"/>
        <v>251.14441370954574</v>
      </c>
      <c r="J49" s="85">
        <f t="shared" si="9"/>
        <v>27.904934856616194</v>
      </c>
      <c r="K49" s="85">
        <f t="shared" si="10"/>
        <v>0</v>
      </c>
      <c r="L49" s="85">
        <f t="shared" si="11"/>
        <v>0</v>
      </c>
      <c r="M49" s="85">
        <f t="shared" si="13"/>
        <v>0</v>
      </c>
      <c r="N49" s="85">
        <f t="shared" si="14"/>
        <v>0</v>
      </c>
      <c r="O49" s="85"/>
      <c r="P49" s="152"/>
    </row>
    <row r="50" spans="2:16" x14ac:dyDescent="0.2">
      <c r="B50" s="99" t="s">
        <v>56</v>
      </c>
      <c r="C50" s="77">
        <f>IFERROR(VLOOKUP(B50,Belastningsfaktor!$B$9:$E$108,2,FALSE),"")</f>
        <v>50539</v>
      </c>
      <c r="D50" s="89">
        <f>IF($C$31="Ja",IFERROR(VLOOKUP(B50,Belastningsfaktor!$B$9:$F$108,3,FALSE),""),1)</f>
        <v>1.2525659487611074</v>
      </c>
      <c r="E50" s="115">
        <f t="shared" si="15"/>
        <v>572.26301157931596</v>
      </c>
      <c r="F50" s="85">
        <f t="shared" si="12"/>
        <v>11.32319617680041</v>
      </c>
      <c r="G50" s="85">
        <f t="shared" si="6"/>
        <v>210.04078234736392</v>
      </c>
      <c r="H50" s="85">
        <f t="shared" si="7"/>
        <v>90.017478148870254</v>
      </c>
      <c r="I50" s="85">
        <f t="shared" si="8"/>
        <v>244.9842759747736</v>
      </c>
      <c r="J50" s="85">
        <f t="shared" si="9"/>
        <v>27.220475108308179</v>
      </c>
      <c r="K50" s="85">
        <f t="shared" si="10"/>
        <v>0</v>
      </c>
      <c r="L50" s="85">
        <f t="shared" si="11"/>
        <v>0</v>
      </c>
      <c r="M50" s="85">
        <f t="shared" si="13"/>
        <v>0</v>
      </c>
      <c r="N50" s="85">
        <f t="shared" si="14"/>
        <v>0</v>
      </c>
      <c r="O50" s="85"/>
      <c r="P50" s="152"/>
    </row>
    <row r="51" spans="2:16" x14ac:dyDescent="0.2">
      <c r="B51" s="99" t="s">
        <v>57</v>
      </c>
      <c r="C51" s="77">
        <f>IFERROR(VLOOKUP(B51,Belastningsfaktor!$B$9:$E$108,2,FALSE),"")</f>
        <v>22826</v>
      </c>
      <c r="D51" s="89">
        <f>IF($C$31="Ja",IFERROR(VLOOKUP(B51,Belastningsfaktor!$B$9:$F$108,3,FALSE),""),1)</f>
        <v>1.2569700231348504</v>
      </c>
      <c r="E51" s="115">
        <f t="shared" si="15"/>
        <v>259.37204364260793</v>
      </c>
      <c r="F51" s="85">
        <f t="shared" si="12"/>
        <v>11.363009009139049</v>
      </c>
      <c r="G51" s="85">
        <f t="shared" si="6"/>
        <v>95.198721328116477</v>
      </c>
      <c r="H51" s="85">
        <f t="shared" si="7"/>
        <v>40.799451997764201</v>
      </c>
      <c r="I51" s="85">
        <f t="shared" si="8"/>
        <v>111.03648328505453</v>
      </c>
      <c r="J51" s="85">
        <f t="shared" si="9"/>
        <v>12.337387031672726</v>
      </c>
      <c r="K51" s="85">
        <f t="shared" si="10"/>
        <v>0</v>
      </c>
      <c r="L51" s="85">
        <f t="shared" si="11"/>
        <v>0</v>
      </c>
      <c r="M51" s="85">
        <f t="shared" si="13"/>
        <v>0</v>
      </c>
      <c r="N51" s="85">
        <f t="shared" si="14"/>
        <v>0</v>
      </c>
      <c r="O51" s="85"/>
      <c r="P51" s="152"/>
    </row>
    <row r="52" spans="2:16" x14ac:dyDescent="0.2">
      <c r="B52" s="99" t="s">
        <v>58</v>
      </c>
      <c r="C52" s="77">
        <f>IFERROR(VLOOKUP(B52,Belastningsfaktor!$B$9:$E$108,2,FALSE),"")</f>
        <v>55997</v>
      </c>
      <c r="D52" s="89">
        <f>IF($C$31="Ja",IFERROR(VLOOKUP(B52,Belastningsfaktor!$B$9:$F$108,3,FALSE),""),1)</f>
        <v>1.2170584408355727</v>
      </c>
      <c r="E52" s="115">
        <f t="shared" si="15"/>
        <v>616.09065846368492</v>
      </c>
      <c r="F52" s="85">
        <f t="shared" si="12"/>
        <v>11.002208305153578</v>
      </c>
      <c r="G52" s="85">
        <f t="shared" si="6"/>
        <v>226.12708017505597</v>
      </c>
      <c r="H52" s="85">
        <f t="shared" si="7"/>
        <v>96.911605789309704</v>
      </c>
      <c r="I52" s="85">
        <f t="shared" si="8"/>
        <v>263.74677524938733</v>
      </c>
      <c r="J52" s="85">
        <f t="shared" si="9"/>
        <v>29.305197249931922</v>
      </c>
      <c r="K52" s="85">
        <f t="shared" si="10"/>
        <v>0</v>
      </c>
      <c r="L52" s="85">
        <f t="shared" si="11"/>
        <v>0</v>
      </c>
      <c r="M52" s="85">
        <f t="shared" si="13"/>
        <v>0</v>
      </c>
      <c r="N52" s="85">
        <f t="shared" si="14"/>
        <v>0</v>
      </c>
      <c r="O52" s="85"/>
      <c r="P52" s="152"/>
    </row>
    <row r="53" spans="2:16" x14ac:dyDescent="0.2">
      <c r="B53" s="99" t="s">
        <v>59</v>
      </c>
      <c r="C53" s="77">
        <f>IFERROR(VLOOKUP(B53,Belastningsfaktor!$B$9:$E$108,2,FALSE),"")</f>
        <v>40519</v>
      </c>
      <c r="D53" s="89">
        <f>IF($C$31="Ja",IFERROR(VLOOKUP(B53,Belastningsfaktor!$B$9:$F$108,3,FALSE),""),1)</f>
        <v>1.1984018718080591</v>
      </c>
      <c r="E53" s="115">
        <f t="shared" si="15"/>
        <v>438.96473081186838</v>
      </c>
      <c r="F53" s="85">
        <f t="shared" si="12"/>
        <v>10.833552921144854</v>
      </c>
      <c r="G53" s="85">
        <f t="shared" si="6"/>
        <v>161.11559478249765</v>
      </c>
      <c r="H53" s="85">
        <f t="shared" si="7"/>
        <v>69.04954062107042</v>
      </c>
      <c r="I53" s="85">
        <f t="shared" si="8"/>
        <v>187.91963586747025</v>
      </c>
      <c r="J53" s="85">
        <f t="shared" si="9"/>
        <v>20.879959540830029</v>
      </c>
      <c r="K53" s="85">
        <f t="shared" si="10"/>
        <v>0</v>
      </c>
      <c r="L53" s="85">
        <f t="shared" si="11"/>
        <v>0</v>
      </c>
      <c r="M53" s="85">
        <f t="shared" si="13"/>
        <v>0</v>
      </c>
      <c r="N53" s="85">
        <f t="shared" si="14"/>
        <v>0</v>
      </c>
      <c r="O53" s="85"/>
      <c r="P53" s="152"/>
    </row>
    <row r="54" spans="2:16" x14ac:dyDescent="0.2">
      <c r="B54" s="99" t="s">
        <v>60</v>
      </c>
      <c r="C54" s="77">
        <f>IFERROR(VLOOKUP(B54,Belastningsfaktor!$B$9:$E$108,2,FALSE),"")</f>
        <v>16580</v>
      </c>
      <c r="D54" s="89">
        <f>IF($C$31="Ja",IFERROR(VLOOKUP(B54,Belastningsfaktor!$B$9:$F$108,3,FALSE),""),1)</f>
        <v>0.9769675884095963</v>
      </c>
      <c r="E54" s="115">
        <f t="shared" si="15"/>
        <v>146.43102844711322</v>
      </c>
      <c r="F54" s="85">
        <f t="shared" si="12"/>
        <v>8.83178699922275</v>
      </c>
      <c r="G54" s="85">
        <f t="shared" si="6"/>
        <v>53.745370839327599</v>
      </c>
      <c r="H54" s="85">
        <f t="shared" si="7"/>
        <v>23.033730359711829</v>
      </c>
      <c r="I54" s="85">
        <f t="shared" si="8"/>
        <v>62.686734523266402</v>
      </c>
      <c r="J54" s="85">
        <f t="shared" si="9"/>
        <v>6.9651927248073777</v>
      </c>
      <c r="K54" s="85">
        <f t="shared" si="10"/>
        <v>0</v>
      </c>
      <c r="L54" s="85">
        <f t="shared" si="11"/>
        <v>0</v>
      </c>
      <c r="M54" s="85">
        <f t="shared" si="13"/>
        <v>0</v>
      </c>
      <c r="N54" s="85">
        <f t="shared" si="14"/>
        <v>0</v>
      </c>
      <c r="O54" s="85"/>
      <c r="P54" s="152"/>
    </row>
    <row r="55" spans="2:16" x14ac:dyDescent="0.2">
      <c r="B55" s="99" t="s">
        <v>61</v>
      </c>
      <c r="C55" s="77">
        <f>IFERROR(VLOOKUP(B55,Belastningsfaktor!$B$9:$E$108,2,FALSE),"")</f>
        <v>25513</v>
      </c>
      <c r="D55" s="89">
        <f>IF($C$31="Ja",IFERROR(VLOOKUP(B55,Belastningsfaktor!$B$9:$F$108,3,FALSE),""),1)</f>
        <v>0.74596683017463106</v>
      </c>
      <c r="E55" s="115">
        <f t="shared" si="15"/>
        <v>172.04793971373809</v>
      </c>
      <c r="F55" s="85">
        <f t="shared" si="12"/>
        <v>6.7435401447786658</v>
      </c>
      <c r="G55" s="85">
        <f t="shared" si="6"/>
        <v>63.147684067498091</v>
      </c>
      <c r="H55" s="85">
        <f t="shared" si="7"/>
        <v>27.063293171784899</v>
      </c>
      <c r="I55" s="85">
        <f t="shared" si="8"/>
        <v>73.653266227009567</v>
      </c>
      <c r="J55" s="85">
        <f t="shared" si="9"/>
        <v>8.1836962474455088</v>
      </c>
      <c r="K55" s="85">
        <f t="shared" si="10"/>
        <v>0</v>
      </c>
      <c r="L55" s="85">
        <f t="shared" si="11"/>
        <v>0</v>
      </c>
      <c r="M55" s="85">
        <f t="shared" si="13"/>
        <v>0</v>
      </c>
      <c r="N55" s="85">
        <f t="shared" si="14"/>
        <v>0</v>
      </c>
      <c r="O55" s="85"/>
      <c r="P55" s="152"/>
    </row>
    <row r="56" spans="2:16" x14ac:dyDescent="0.2">
      <c r="B56" s="99" t="s">
        <v>62</v>
      </c>
      <c r="C56" s="77">
        <f>IFERROR(VLOOKUP(B56,Belastningsfaktor!$B$9:$E$108,2,FALSE),"")</f>
        <v>43181</v>
      </c>
      <c r="D56" s="89">
        <f>IF($C$31="Ja",IFERROR(VLOOKUP(B56,Belastningsfaktor!$B$9:$F$108,3,FALSE),""),1)</f>
        <v>0.50941444582999229</v>
      </c>
      <c r="E56" s="115">
        <f t="shared" si="15"/>
        <v>198.8531076758795</v>
      </c>
      <c r="F56" s="85">
        <f t="shared" si="12"/>
        <v>4.605106590303131</v>
      </c>
      <c r="G56" s="85">
        <f t="shared" si="6"/>
        <v>72.986129565107078</v>
      </c>
      <c r="H56" s="85">
        <f t="shared" si="7"/>
        <v>31.279769813617317</v>
      </c>
      <c r="I56" s="85">
        <f t="shared" si="8"/>
        <v>85.128487467439584</v>
      </c>
      <c r="J56" s="85">
        <f t="shared" si="9"/>
        <v>9.4587208297155083</v>
      </c>
      <c r="K56" s="85">
        <f t="shared" si="10"/>
        <v>0</v>
      </c>
      <c r="L56" s="85">
        <f t="shared" si="11"/>
        <v>0</v>
      </c>
      <c r="M56" s="85">
        <f t="shared" si="13"/>
        <v>0</v>
      </c>
      <c r="N56" s="85">
        <f t="shared" si="14"/>
        <v>0</v>
      </c>
      <c r="O56" s="85"/>
      <c r="P56" s="152"/>
    </row>
    <row r="57" spans="2:16" x14ac:dyDescent="0.2">
      <c r="B57" s="99" t="s">
        <v>63</v>
      </c>
      <c r="C57" s="77">
        <f>IFERROR(VLOOKUP(B57,Belastningsfaktor!$B$9:$E$108,2,FALSE),"")</f>
        <v>40670</v>
      </c>
      <c r="D57" s="89">
        <f>IF($C$31="Ja",IFERROR(VLOOKUP(B57,Belastningsfaktor!$B$9:$F$108,3,FALSE),""),1)</f>
        <v>0.75976662969397157</v>
      </c>
      <c r="E57" s="115">
        <f t="shared" si="15"/>
        <v>279.33336782007058</v>
      </c>
      <c r="F57" s="85">
        <f t="shared" si="12"/>
        <v>6.8682903324335038</v>
      </c>
      <c r="G57" s="85">
        <f t="shared" si="6"/>
        <v>102.52523389679135</v>
      </c>
      <c r="H57" s="85">
        <f t="shared" si="7"/>
        <v>43.939385955767726</v>
      </c>
      <c r="I57" s="85">
        <f t="shared" si="8"/>
        <v>119.58187317076032</v>
      </c>
      <c r="J57" s="85">
        <f t="shared" si="9"/>
        <v>13.286874796751148</v>
      </c>
      <c r="K57" s="85">
        <f t="shared" si="10"/>
        <v>0</v>
      </c>
      <c r="L57" s="85">
        <f t="shared" si="11"/>
        <v>0</v>
      </c>
      <c r="M57" s="85">
        <f t="shared" si="13"/>
        <v>0</v>
      </c>
      <c r="N57" s="85">
        <f t="shared" si="14"/>
        <v>0</v>
      </c>
      <c r="O57" s="85"/>
      <c r="P57" s="152"/>
    </row>
    <row r="58" spans="2:16" x14ac:dyDescent="0.2">
      <c r="B58" s="99" t="s">
        <v>64</v>
      </c>
      <c r="C58" s="77">
        <f>IFERROR(VLOOKUP(B58,Belastningsfaktor!$B$9:$E$108,2,FALSE),"")</f>
        <v>45043</v>
      </c>
      <c r="D58" s="89">
        <f>IF($C$31="Ja",IFERROR(VLOOKUP(B58,Belastningsfaktor!$B$9:$F$108,3,FALSE),""),1)</f>
        <v>0.67140064991197523</v>
      </c>
      <c r="E58" s="115">
        <f t="shared" si="15"/>
        <v>273.3867712448253</v>
      </c>
      <c r="F58" s="85">
        <f t="shared" si="12"/>
        <v>6.0694618752042562</v>
      </c>
      <c r="G58" s="85">
        <f t="shared" si="6"/>
        <v>100.34262245468254</v>
      </c>
      <c r="H58" s="85">
        <f t="shared" si="7"/>
        <v>43.0039810520068</v>
      </c>
      <c r="I58" s="85">
        <f t="shared" si="8"/>
        <v>117.03615096432236</v>
      </c>
      <c r="J58" s="85">
        <f t="shared" si="9"/>
        <v>13.004016773813596</v>
      </c>
      <c r="K58" s="85">
        <f t="shared" si="10"/>
        <v>0</v>
      </c>
      <c r="L58" s="85">
        <f t="shared" si="11"/>
        <v>0</v>
      </c>
      <c r="M58" s="85">
        <f t="shared" si="13"/>
        <v>0</v>
      </c>
      <c r="N58" s="85">
        <f t="shared" si="14"/>
        <v>0</v>
      </c>
      <c r="O58" s="85"/>
      <c r="P58" s="152"/>
    </row>
    <row r="59" spans="2:16" x14ac:dyDescent="0.2">
      <c r="B59" s="99" t="s">
        <v>65</v>
      </c>
      <c r="C59" s="77">
        <f>IFERROR(VLOOKUP(B59,Belastningsfaktor!$B$9:$E$108,2,FALSE),"")</f>
        <v>40670</v>
      </c>
      <c r="D59" s="89">
        <f>IF($C$31="Ja",IFERROR(VLOOKUP(B59,Belastningsfaktor!$B$9:$F$108,3,FALSE),""),1)</f>
        <v>0.82841042566240275</v>
      </c>
      <c r="E59" s="115">
        <f t="shared" si="15"/>
        <v>304.5707261856769</v>
      </c>
      <c r="F59" s="85">
        <f t="shared" si="12"/>
        <v>7.4888302479881217</v>
      </c>
      <c r="G59" s="85">
        <f t="shared" si="6"/>
        <v>111.78823777478712</v>
      </c>
      <c r="H59" s="85">
        <f t="shared" si="7"/>
        <v>47.909244760623054</v>
      </c>
      <c r="I59" s="85">
        <f t="shared" si="8"/>
        <v>130.38591928524002</v>
      </c>
      <c r="J59" s="85">
        <f t="shared" si="9"/>
        <v>14.487324365026669</v>
      </c>
      <c r="K59" s="85">
        <f t="shared" si="10"/>
        <v>0</v>
      </c>
      <c r="L59" s="85">
        <f t="shared" si="11"/>
        <v>0</v>
      </c>
      <c r="M59" s="85">
        <f t="shared" si="13"/>
        <v>0</v>
      </c>
      <c r="N59" s="85">
        <f t="shared" si="14"/>
        <v>0</v>
      </c>
      <c r="O59" s="85"/>
      <c r="P59" s="152"/>
    </row>
    <row r="60" spans="2:16" x14ac:dyDescent="0.2">
      <c r="B60" s="99" t="s">
        <v>66</v>
      </c>
      <c r="C60" s="77">
        <f>IFERROR(VLOOKUP(B60,Belastningsfaktor!$B$9:$E$108,2,FALSE),"")</f>
        <v>40859</v>
      </c>
      <c r="D60" s="89">
        <f>IF($C$31="Ja",IFERROR(VLOOKUP(B60,Belastningsfaktor!$B$9:$F$108,3,FALSE),""),1)</f>
        <v>0.5032246806794124</v>
      </c>
      <c r="E60" s="115">
        <f t="shared" si="15"/>
        <v>185.87376534003621</v>
      </c>
      <c r="F60" s="85">
        <f t="shared" si="12"/>
        <v>4.549151113341888</v>
      </c>
      <c r="G60" s="85">
        <f t="shared" si="6"/>
        <v>68.222251482106188</v>
      </c>
      <c r="H60" s="85">
        <f t="shared" si="7"/>
        <v>29.23810777804551</v>
      </c>
      <c r="I60" s="85">
        <f t="shared" si="8"/>
        <v>79.572065471896053</v>
      </c>
      <c r="J60" s="85">
        <f t="shared" si="9"/>
        <v>8.8413406079884496</v>
      </c>
      <c r="K60" s="85">
        <f t="shared" si="10"/>
        <v>0</v>
      </c>
      <c r="L60" s="85">
        <f t="shared" si="11"/>
        <v>0</v>
      </c>
      <c r="M60" s="85">
        <f t="shared" si="13"/>
        <v>0</v>
      </c>
      <c r="N60" s="85">
        <f t="shared" si="14"/>
        <v>0</v>
      </c>
      <c r="O60" s="85"/>
      <c r="P60" s="152"/>
    </row>
    <row r="61" spans="2:16" x14ac:dyDescent="0.2">
      <c r="B61" s="99" t="s">
        <v>67</v>
      </c>
      <c r="C61" s="77">
        <f>IFERROR(VLOOKUP(B61,Belastningsfaktor!$B$9:$E$108,2,FALSE),"")</f>
        <v>31167</v>
      </c>
      <c r="D61" s="89">
        <f>IF($C$31="Ja",IFERROR(VLOOKUP(B61,Belastningsfaktor!$B$9:$F$108,3,FALSE),""),1)</f>
        <v>0.61481320552258434</v>
      </c>
      <c r="E61" s="115">
        <f t="shared" si="15"/>
        <v>173.2234239157624</v>
      </c>
      <c r="F61" s="85">
        <f t="shared" si="12"/>
        <v>5.5579113779241629</v>
      </c>
      <c r="G61" s="85">
        <f t="shared" si="6"/>
        <v>63.579128379701267</v>
      </c>
      <c r="H61" s="85">
        <f t="shared" si="7"/>
        <v>27.248197877014832</v>
      </c>
      <c r="I61" s="85">
        <f t="shared" si="8"/>
        <v>74.156487893141659</v>
      </c>
      <c r="J61" s="85">
        <f t="shared" si="9"/>
        <v>8.2396097659046301</v>
      </c>
      <c r="K61" s="85">
        <f t="shared" si="10"/>
        <v>0</v>
      </c>
      <c r="L61" s="85">
        <f t="shared" si="11"/>
        <v>0</v>
      </c>
      <c r="M61" s="85">
        <f t="shared" si="13"/>
        <v>0</v>
      </c>
      <c r="N61" s="85">
        <f t="shared" si="14"/>
        <v>0</v>
      </c>
      <c r="O61" s="85"/>
      <c r="P61" s="152"/>
    </row>
    <row r="62" spans="2:16" x14ac:dyDescent="0.2">
      <c r="B62" s="99" t="s">
        <v>68</v>
      </c>
      <c r="C62" s="77">
        <f>IFERROR(VLOOKUP(B62,Belastningsfaktor!$B$9:$E$108,2,FALSE),"")</f>
        <v>62328</v>
      </c>
      <c r="D62" s="89">
        <f>IF($C$31="Ja",IFERROR(VLOOKUP(B62,Belastningsfaktor!$B$9:$F$108,3,FALSE),""),1)</f>
        <v>1.0042084337483188</v>
      </c>
      <c r="E62" s="115">
        <f t="shared" si="15"/>
        <v>565.81634145833357</v>
      </c>
      <c r="F62" s="85">
        <f t="shared" si="12"/>
        <v>9.0780442410848021</v>
      </c>
      <c r="G62" s="85">
        <f t="shared" si="6"/>
        <v>207.67462621225113</v>
      </c>
      <c r="H62" s="85">
        <f t="shared" si="7"/>
        <v>89.003411233821922</v>
      </c>
      <c r="I62" s="85">
        <f t="shared" si="8"/>
        <v>242.22447361103445</v>
      </c>
      <c r="J62" s="85">
        <f t="shared" si="9"/>
        <v>26.913830401226051</v>
      </c>
      <c r="K62" s="85">
        <f t="shared" si="10"/>
        <v>0</v>
      </c>
      <c r="L62" s="85">
        <f t="shared" si="11"/>
        <v>0</v>
      </c>
      <c r="M62" s="85">
        <f t="shared" si="13"/>
        <v>0</v>
      </c>
      <c r="N62" s="85">
        <f t="shared" si="14"/>
        <v>0</v>
      </c>
      <c r="O62" s="85"/>
      <c r="P62" s="152"/>
    </row>
    <row r="63" spans="2:16" x14ac:dyDescent="0.2">
      <c r="B63" s="99" t="s">
        <v>69</v>
      </c>
      <c r="C63" s="77">
        <f>IFERROR(VLOOKUP(B63,Belastningsfaktor!$B$9:$E$108,2,FALSE),"")</f>
        <v>50956</v>
      </c>
      <c r="D63" s="89">
        <f>IF($C$31="Ja",IFERROR(VLOOKUP(B63,Belastningsfaktor!$B$9:$F$108,3,FALSE),""),1)</f>
        <v>1.0027193921654229</v>
      </c>
      <c r="E63" s="115">
        <f t="shared" si="15"/>
        <v>461.89490689851897</v>
      </c>
      <c r="F63" s="85">
        <f t="shared" si="12"/>
        <v>9.0645833051754252</v>
      </c>
      <c r="G63" s="85">
        <f t="shared" si="6"/>
        <v>169.5317810939475</v>
      </c>
      <c r="H63" s="85">
        <f t="shared" si="7"/>
        <v>72.656477611691784</v>
      </c>
      <c r="I63" s="85">
        <f t="shared" si="8"/>
        <v>197.73598337359169</v>
      </c>
      <c r="J63" s="85">
        <f t="shared" si="9"/>
        <v>21.970664819287965</v>
      </c>
      <c r="K63" s="85">
        <f t="shared" si="10"/>
        <v>0</v>
      </c>
      <c r="L63" s="85">
        <f t="shared" si="11"/>
        <v>0</v>
      </c>
      <c r="M63" s="85">
        <f t="shared" si="13"/>
        <v>0</v>
      </c>
      <c r="N63" s="85">
        <f t="shared" si="14"/>
        <v>0</v>
      </c>
      <c r="O63" s="85"/>
      <c r="P63" s="152"/>
    </row>
    <row r="64" spans="2:16" x14ac:dyDescent="0.2">
      <c r="B64" s="99" t="s">
        <v>70</v>
      </c>
      <c r="C64" s="77">
        <f>IFERROR(VLOOKUP(B64,Belastningsfaktor!$B$9:$E$108,2,FALSE),"")</f>
        <v>24746</v>
      </c>
      <c r="D64" s="89">
        <f>IF($C$31="Ja",IFERROR(VLOOKUP(B64,Belastningsfaktor!$B$9:$F$108,3,FALSE),""),1)</f>
        <v>0.88642518772963186</v>
      </c>
      <c r="E64" s="115">
        <f t="shared" si="15"/>
        <v>198.29671836783959</v>
      </c>
      <c r="F64" s="85">
        <f t="shared" si="12"/>
        <v>8.0132836970758738</v>
      </c>
      <c r="G64" s="85">
        <f t="shared" si="6"/>
        <v>72.781914993859687</v>
      </c>
      <c r="H64" s="85">
        <f t="shared" si="7"/>
        <v>31.192249283082724</v>
      </c>
      <c r="I64" s="85">
        <f t="shared" si="8"/>
        <v>84.890298681807451</v>
      </c>
      <c r="J64" s="85">
        <f t="shared" si="9"/>
        <v>9.4322554090897182</v>
      </c>
      <c r="K64" s="85">
        <f t="shared" si="10"/>
        <v>0</v>
      </c>
      <c r="L64" s="85">
        <f t="shared" si="11"/>
        <v>0</v>
      </c>
      <c r="M64" s="85">
        <f t="shared" si="13"/>
        <v>0</v>
      </c>
      <c r="N64" s="85">
        <f t="shared" si="14"/>
        <v>0</v>
      </c>
      <c r="O64" s="85"/>
      <c r="P64" s="152"/>
    </row>
    <row r="65" spans="2:16" x14ac:dyDescent="0.2">
      <c r="B65" s="99" t="s">
        <v>71</v>
      </c>
      <c r="C65" s="77">
        <f>IFERROR(VLOOKUP(B65,Belastningsfaktor!$B$9:$E$108,2,FALSE),"")</f>
        <v>56389</v>
      </c>
      <c r="D65" s="89">
        <f>IF($C$31="Ja",IFERROR(VLOOKUP(B65,Belastningsfaktor!$B$9:$F$108,3,FALSE),""),1)</f>
        <v>0.92207702636217159</v>
      </c>
      <c r="E65" s="115">
        <f t="shared" si="15"/>
        <v>470.03481301340992</v>
      </c>
      <c r="F65" s="85">
        <f t="shared" si="12"/>
        <v>8.3355763183140326</v>
      </c>
      <c r="G65" s="85">
        <f t="shared" si="6"/>
        <v>172.51941477638204</v>
      </c>
      <c r="H65" s="85">
        <f t="shared" si="7"/>
        <v>73.936892047020876</v>
      </c>
      <c r="I65" s="85">
        <f t="shared" si="8"/>
        <v>201.22065557100629</v>
      </c>
      <c r="J65" s="85">
        <f t="shared" si="9"/>
        <v>22.3578506190007</v>
      </c>
      <c r="K65" s="85">
        <f t="shared" si="10"/>
        <v>0</v>
      </c>
      <c r="L65" s="85">
        <f t="shared" si="11"/>
        <v>0</v>
      </c>
      <c r="M65" s="85">
        <f t="shared" si="13"/>
        <v>0</v>
      </c>
      <c r="N65" s="85">
        <f t="shared" si="14"/>
        <v>0</v>
      </c>
      <c r="O65" s="85"/>
      <c r="P65" s="152"/>
    </row>
    <row r="66" spans="2:16" x14ac:dyDescent="0.2">
      <c r="B66" s="99" t="s">
        <v>72</v>
      </c>
      <c r="C66" s="77">
        <f>IFERROR(VLOOKUP(B66,Belastningsfaktor!$B$9:$E$108,2,FALSE),"")</f>
        <v>39346</v>
      </c>
      <c r="D66" s="89">
        <f>IF($C$31="Ja",IFERROR(VLOOKUP(B66,Belastningsfaktor!$B$9:$F$108,3,FALSE),""),1)</f>
        <v>0.58992539576736602</v>
      </c>
      <c r="E66" s="115">
        <f t="shared" si="15"/>
        <v>209.8292897816396</v>
      </c>
      <c r="F66" s="85">
        <f t="shared" si="12"/>
        <v>5.3329255777369902</v>
      </c>
      <c r="G66" s="85">
        <f t="shared" si="6"/>
        <v>77.014776935340706</v>
      </c>
      <c r="H66" s="85">
        <f t="shared" si="7"/>
        <v>33.006332972288874</v>
      </c>
      <c r="I66" s="85">
        <f t="shared" si="8"/>
        <v>89.827361886609012</v>
      </c>
      <c r="J66" s="85">
        <f t="shared" si="9"/>
        <v>9.9808179874010019</v>
      </c>
      <c r="K66" s="85">
        <f t="shared" si="10"/>
        <v>0</v>
      </c>
      <c r="L66" s="85">
        <f t="shared" si="11"/>
        <v>0</v>
      </c>
      <c r="M66" s="85">
        <f t="shared" si="13"/>
        <v>0</v>
      </c>
      <c r="N66" s="85">
        <f t="shared" si="14"/>
        <v>0</v>
      </c>
      <c r="O66" s="85"/>
      <c r="P66" s="152"/>
    </row>
    <row r="67" spans="2:16" x14ac:dyDescent="0.2">
      <c r="B67" s="99" t="s">
        <v>73</v>
      </c>
      <c r="C67" s="77">
        <f>IFERROR(VLOOKUP(B67,Belastningsfaktor!$B$9:$E$108,2,FALSE),"")</f>
        <v>50308</v>
      </c>
      <c r="D67" s="89">
        <f>IF($C$31="Ja",IFERROR(VLOOKUP(B67,Belastningsfaktor!$B$9:$F$108,3,FALSE),""),1)</f>
        <v>0.75175896687632815</v>
      </c>
      <c r="E67" s="115">
        <f t="shared" si="15"/>
        <v>341.88819055475346</v>
      </c>
      <c r="F67" s="85">
        <f t="shared" si="12"/>
        <v>6.7959010605620076</v>
      </c>
      <c r="G67" s="85">
        <f t="shared" si="6"/>
        <v>125.48506817042828</v>
      </c>
      <c r="H67" s="85">
        <f t="shared" si="7"/>
        <v>53.779314930183553</v>
      </c>
      <c r="I67" s="85">
        <f t="shared" si="8"/>
        <v>146.36142670872744</v>
      </c>
      <c r="J67" s="85">
        <f t="shared" si="9"/>
        <v>16.262380745414159</v>
      </c>
      <c r="K67" s="85">
        <f t="shared" si="10"/>
        <v>0</v>
      </c>
      <c r="L67" s="85">
        <f t="shared" si="11"/>
        <v>0</v>
      </c>
      <c r="M67" s="85">
        <f t="shared" si="13"/>
        <v>0</v>
      </c>
      <c r="N67" s="85">
        <f t="shared" si="14"/>
        <v>0</v>
      </c>
      <c r="O67" s="85"/>
      <c r="P67" s="152"/>
    </row>
    <row r="68" spans="2:16" x14ac:dyDescent="0.2">
      <c r="B68" s="99" t="s">
        <v>74</v>
      </c>
      <c r="C68" s="77">
        <f>IFERROR(VLOOKUP(B68,Belastningsfaktor!$B$9:$E$108,2,FALSE),"")</f>
        <v>60504</v>
      </c>
      <c r="D68" s="89">
        <f>IF($C$31="Ja",IFERROR(VLOOKUP(B68,Belastningsfaktor!$B$9:$F$108,3,FALSE),""),1)</f>
        <v>0.8807594213287091</v>
      </c>
      <c r="E68" s="115">
        <f t="shared" si="15"/>
        <v>481.73679097377288</v>
      </c>
      <c r="F68" s="85">
        <f t="shared" si="12"/>
        <v>7.9620651688115318</v>
      </c>
      <c r="G68" s="85">
        <f t="shared" si="6"/>
        <v>176.81445491714359</v>
      </c>
      <c r="H68" s="85">
        <f t="shared" si="7"/>
        <v>75.777623535918678</v>
      </c>
      <c r="I68" s="85">
        <f t="shared" si="8"/>
        <v>206.23024126863953</v>
      </c>
      <c r="J68" s="85">
        <f t="shared" si="9"/>
        <v>22.91447125207106</v>
      </c>
      <c r="K68" s="85">
        <f t="shared" si="10"/>
        <v>0</v>
      </c>
      <c r="L68" s="85">
        <f t="shared" si="11"/>
        <v>0</v>
      </c>
      <c r="M68" s="85">
        <f t="shared" si="13"/>
        <v>0</v>
      </c>
      <c r="N68" s="85">
        <f t="shared" si="14"/>
        <v>0</v>
      </c>
      <c r="O68" s="85"/>
      <c r="P68" s="152"/>
    </row>
    <row r="69" spans="2:16" x14ac:dyDescent="0.2">
      <c r="B69" s="99" t="s">
        <v>75</v>
      </c>
      <c r="C69" s="77">
        <f>IFERROR(VLOOKUP(B69,Belastningsfaktor!$B$9:$E$108,2,FALSE),"")</f>
        <v>27750</v>
      </c>
      <c r="D69" s="89">
        <f>IF($C$31="Ja",IFERROR(VLOOKUP(B69,Belastningsfaktor!$B$9:$F$108,3,FALSE),""),1)</f>
        <v>0.4431756065845931</v>
      </c>
      <c r="E69" s="115">
        <f t="shared" si="15"/>
        <v>111.17503266781104</v>
      </c>
      <c r="F69" s="85">
        <f t="shared" si="12"/>
        <v>4.0063074835247221</v>
      </c>
      <c r="G69" s="85">
        <f t="shared" si="6"/>
        <v>40.80517238847311</v>
      </c>
      <c r="H69" s="85">
        <f t="shared" si="7"/>
        <v>17.487931023631333</v>
      </c>
      <c r="I69" s="85">
        <f t="shared" si="8"/>
        <v>47.593736330135933</v>
      </c>
      <c r="J69" s="85">
        <f t="shared" si="9"/>
        <v>5.2881929255706588</v>
      </c>
      <c r="K69" s="85">
        <f t="shared" si="10"/>
        <v>0</v>
      </c>
      <c r="L69" s="85">
        <f t="shared" si="11"/>
        <v>0</v>
      </c>
      <c r="M69" s="85">
        <f t="shared" si="13"/>
        <v>0</v>
      </c>
      <c r="N69" s="85">
        <f t="shared" si="14"/>
        <v>0</v>
      </c>
      <c r="O69" s="85"/>
      <c r="P69" s="152"/>
    </row>
    <row r="70" spans="2:16" x14ac:dyDescent="0.2">
      <c r="B70" s="99" t="s">
        <v>76</v>
      </c>
      <c r="C70" s="77">
        <f>IFERROR(VLOOKUP(B70,Belastningsfaktor!$B$9:$E$108,2,FALSE),"")</f>
        <v>87188</v>
      </c>
      <c r="D70" s="89">
        <f>IF($C$31="Ja",IFERROR(VLOOKUP(B70,Belastningsfaktor!$B$9:$F$108,3,FALSE),""),1)</f>
        <v>0.9238478820890722</v>
      </c>
      <c r="E70" s="115">
        <f t="shared" si="15"/>
        <v>728.15798025798154</v>
      </c>
      <c r="F70" s="85">
        <f t="shared" si="12"/>
        <v>8.3515848540852122</v>
      </c>
      <c r="G70" s="85">
        <f t="shared" ref="G70:G101" si="16">$E70*($H$17/$H$24)*$D$7</f>
        <v>267.25975425840511</v>
      </c>
      <c r="H70" s="85">
        <f t="shared" ref="H70:H101" si="17">$E70*($H$17/$H$24)*$E$7</f>
        <v>114.53989468217361</v>
      </c>
      <c r="I70" s="85">
        <f t="shared" ref="I70:I101" si="18">$E70*($H$18/$H$24)*$D$8</f>
        <v>311.72249818566252</v>
      </c>
      <c r="J70" s="85">
        <f t="shared" ref="J70:J101" si="19">$E70*($H$18/$H$24)*$E$8</f>
        <v>34.635833131740277</v>
      </c>
      <c r="K70" s="85">
        <f t="shared" ref="K70:K101" si="20">$E70*($H$19/$H$24)*$D$9</f>
        <v>0</v>
      </c>
      <c r="L70" s="85">
        <f t="shared" ref="L70:L101" si="21">$E70*($H$19/$H$24)*$E$9</f>
        <v>0</v>
      </c>
      <c r="M70" s="85">
        <f t="shared" si="13"/>
        <v>0</v>
      </c>
      <c r="N70" s="85">
        <f t="shared" si="14"/>
        <v>0</v>
      </c>
      <c r="O70" s="85"/>
      <c r="P70" s="152"/>
    </row>
    <row r="71" spans="2:16" x14ac:dyDescent="0.2">
      <c r="B71" s="99" t="s">
        <v>77</v>
      </c>
      <c r="C71" s="77">
        <f>IFERROR(VLOOKUP(B71,Belastningsfaktor!$B$9:$E$108,2,FALSE),"")</f>
        <v>22662</v>
      </c>
      <c r="D71" s="89">
        <f>IF($C$31="Ja",IFERROR(VLOOKUP(B71,Belastningsfaktor!$B$9:$F$108,3,FALSE),""),1)</f>
        <v>0.66347031589734906</v>
      </c>
      <c r="E71" s="115">
        <f t="shared" si="15"/>
        <v>135.92150126174619</v>
      </c>
      <c r="F71" s="85">
        <f t="shared" si="12"/>
        <v>5.9977716557120377</v>
      </c>
      <c r="G71" s="85">
        <f t="shared" si="16"/>
        <v>49.888002343636472</v>
      </c>
      <c r="H71" s="85">
        <f t="shared" si="17"/>
        <v>21.380572432987062</v>
      </c>
      <c r="I71" s="85">
        <f t="shared" si="18"/>
        <v>58.187633836610388</v>
      </c>
      <c r="J71" s="85">
        <f t="shared" si="19"/>
        <v>6.465292648512265</v>
      </c>
      <c r="K71" s="85">
        <f t="shared" si="20"/>
        <v>0</v>
      </c>
      <c r="L71" s="85">
        <f t="shared" si="21"/>
        <v>0</v>
      </c>
      <c r="M71" s="85">
        <f t="shared" si="13"/>
        <v>0</v>
      </c>
      <c r="N71" s="85">
        <f t="shared" si="14"/>
        <v>0</v>
      </c>
      <c r="O71" s="85"/>
      <c r="P71" s="152"/>
    </row>
    <row r="72" spans="2:16" x14ac:dyDescent="0.2">
      <c r="B72" s="99" t="s">
        <v>78</v>
      </c>
      <c r="C72" s="77">
        <f>IFERROR(VLOOKUP(B72,Belastningsfaktor!$B$9:$E$108,2,FALSE),"")</f>
        <v>36420</v>
      </c>
      <c r="D72" s="89">
        <f>IF($C$31="Ja",IFERROR(VLOOKUP(B72,Belastningsfaktor!$B$9:$F$108,3,FALSE),""),1)</f>
        <v>0.59717713147687657</v>
      </c>
      <c r="E72" s="115">
        <f t="shared" si="15"/>
        <v>196.61268780062611</v>
      </c>
      <c r="F72" s="85">
        <f t="shared" si="12"/>
        <v>5.398481268550964</v>
      </c>
      <c r="G72" s="85">
        <f t="shared" si="16"/>
        <v>72.163816163990845</v>
      </c>
      <c r="H72" s="85">
        <f t="shared" si="17"/>
        <v>30.927349784567504</v>
      </c>
      <c r="I72" s="85">
        <f t="shared" si="18"/>
        <v>84.169369666860959</v>
      </c>
      <c r="J72" s="85">
        <f t="shared" si="19"/>
        <v>9.3521521852067746</v>
      </c>
      <c r="K72" s="85">
        <f t="shared" si="20"/>
        <v>0</v>
      </c>
      <c r="L72" s="85">
        <f t="shared" si="21"/>
        <v>0</v>
      </c>
      <c r="M72" s="85">
        <f t="shared" si="13"/>
        <v>0</v>
      </c>
      <c r="N72" s="85">
        <f t="shared" si="14"/>
        <v>0</v>
      </c>
      <c r="O72" s="85"/>
      <c r="P72" s="152"/>
    </row>
    <row r="73" spans="2:16" x14ac:dyDescent="0.2">
      <c r="B73" s="99" t="s">
        <v>79</v>
      </c>
      <c r="C73" s="77">
        <f>IFERROR(VLOOKUP(B73,Belastningsfaktor!$B$9:$E$108,2,FALSE),"")</f>
        <v>60456</v>
      </c>
      <c r="D73" s="89">
        <f>IF($C$31="Ja",IFERROR(VLOOKUP(B73,Belastningsfaktor!$B$9:$F$108,3,FALSE),""),1)</f>
        <v>0.712417378255772</v>
      </c>
      <c r="E73" s="115">
        <f t="shared" si="15"/>
        <v>389.35194137927186</v>
      </c>
      <c r="F73" s="85">
        <f t="shared" si="12"/>
        <v>6.4402530994321792</v>
      </c>
      <c r="G73" s="85">
        <f t="shared" si="16"/>
        <v>142.90594485579908</v>
      </c>
      <c r="H73" s="85">
        <f t="shared" si="17"/>
        <v>61.245404938199606</v>
      </c>
      <c r="I73" s="85">
        <f t="shared" si="18"/>
        <v>166.68053242674583</v>
      </c>
      <c r="J73" s="85">
        <f t="shared" si="19"/>
        <v>18.520059158527314</v>
      </c>
      <c r="K73" s="85">
        <f t="shared" si="20"/>
        <v>0</v>
      </c>
      <c r="L73" s="85">
        <f t="shared" si="21"/>
        <v>0</v>
      </c>
      <c r="M73" s="85">
        <f t="shared" si="13"/>
        <v>0</v>
      </c>
      <c r="N73" s="85">
        <f t="shared" si="14"/>
        <v>0</v>
      </c>
      <c r="O73" s="85"/>
      <c r="P73" s="152"/>
    </row>
    <row r="74" spans="2:16" x14ac:dyDescent="0.2">
      <c r="B74" s="99" t="s">
        <v>80</v>
      </c>
      <c r="C74" s="77">
        <f>IFERROR(VLOOKUP(B74,Belastningsfaktor!$B$9:$E$108,2,FALSE),"")</f>
        <v>71378</v>
      </c>
      <c r="D74" s="89">
        <f>IF($C$31="Ja",IFERROR(VLOOKUP(B74,Belastningsfaktor!$B$9:$F$108,3,FALSE),""),1)</f>
        <v>0.79155925723542564</v>
      </c>
      <c r="E74" s="115">
        <f t="shared" si="15"/>
        <v>510.75924663306995</v>
      </c>
      <c r="F74" s="85">
        <f t="shared" si="12"/>
        <v>7.1556956854082481</v>
      </c>
      <c r="G74" s="85">
        <f t="shared" si="16"/>
        <v>187.46672348766876</v>
      </c>
      <c r="H74" s="85">
        <f t="shared" si="17"/>
        <v>80.342881494715186</v>
      </c>
      <c r="I74" s="85">
        <f t="shared" si="18"/>
        <v>218.65467748561738</v>
      </c>
      <c r="J74" s="85">
        <f t="shared" si="19"/>
        <v>24.294964165068599</v>
      </c>
      <c r="K74" s="85">
        <f t="shared" si="20"/>
        <v>0</v>
      </c>
      <c r="L74" s="85">
        <f t="shared" si="21"/>
        <v>0</v>
      </c>
      <c r="M74" s="85">
        <f t="shared" si="13"/>
        <v>0</v>
      </c>
      <c r="N74" s="85">
        <f t="shared" si="14"/>
        <v>0</v>
      </c>
      <c r="O74" s="85"/>
      <c r="P74" s="152"/>
    </row>
    <row r="75" spans="2:16" x14ac:dyDescent="0.2">
      <c r="B75" s="99" t="s">
        <v>81</v>
      </c>
      <c r="C75" s="77">
        <f>IFERROR(VLOOKUP(B75,Belastningsfaktor!$B$9:$E$108,2,FALSE),"")</f>
        <v>48285</v>
      </c>
      <c r="D75" s="89">
        <f>IF($C$31="Ja",IFERROR(VLOOKUP(B75,Belastningsfaktor!$B$9:$F$108,3,FALSE),""),1)</f>
        <v>0.65297783877605642</v>
      </c>
      <c r="E75" s="115">
        <f t="shared" si="15"/>
        <v>285.02247590552912</v>
      </c>
      <c r="F75" s="85">
        <f t="shared" si="12"/>
        <v>5.9029196625355516</v>
      </c>
      <c r="G75" s="85">
        <f t="shared" si="16"/>
        <v>104.61333794851164</v>
      </c>
      <c r="H75" s="85">
        <f t="shared" si="17"/>
        <v>44.834287692219277</v>
      </c>
      <c r="I75" s="85">
        <f t="shared" si="18"/>
        <v>122.01736523831835</v>
      </c>
      <c r="J75" s="85">
        <f t="shared" si="19"/>
        <v>13.557485026479817</v>
      </c>
      <c r="K75" s="85">
        <f t="shared" si="20"/>
        <v>0</v>
      </c>
      <c r="L75" s="85">
        <f t="shared" si="21"/>
        <v>0</v>
      </c>
      <c r="M75" s="85">
        <f t="shared" si="13"/>
        <v>0</v>
      </c>
      <c r="N75" s="85">
        <f t="shared" si="14"/>
        <v>0</v>
      </c>
      <c r="O75" s="85"/>
      <c r="P75" s="152"/>
    </row>
    <row r="76" spans="2:16" x14ac:dyDescent="0.2">
      <c r="B76" s="99" t="s">
        <v>82</v>
      </c>
      <c r="C76" s="77">
        <f>IFERROR(VLOOKUP(B76,Belastningsfaktor!$B$9:$E$108,2,FALSE),"")</f>
        <v>40946</v>
      </c>
      <c r="D76" s="89">
        <f>IF($C$31="Ja",IFERROR(VLOOKUP(B76,Belastningsfaktor!$B$9:$F$108,3,FALSE),""),1)</f>
        <v>0.66517721427928311</v>
      </c>
      <c r="E76" s="115">
        <f t="shared" si="15"/>
        <v>246.21656979155094</v>
      </c>
      <c r="F76" s="85">
        <f t="shared" si="12"/>
        <v>6.0132020170847191</v>
      </c>
      <c r="G76" s="85">
        <f t="shared" si="16"/>
        <v>90.370196744288251</v>
      </c>
      <c r="H76" s="85">
        <f t="shared" si="17"/>
        <v>38.73008431898068</v>
      </c>
      <c r="I76" s="85">
        <f t="shared" si="18"/>
        <v>105.40465985545379</v>
      </c>
      <c r="J76" s="85">
        <f t="shared" si="19"/>
        <v>11.7116288728282</v>
      </c>
      <c r="K76" s="85">
        <f t="shared" si="20"/>
        <v>0</v>
      </c>
      <c r="L76" s="85">
        <f t="shared" si="21"/>
        <v>0</v>
      </c>
      <c r="M76" s="85">
        <f t="shared" si="13"/>
        <v>0</v>
      </c>
      <c r="N76" s="85">
        <f t="shared" si="14"/>
        <v>0</v>
      </c>
      <c r="O76" s="85"/>
      <c r="P76" s="152"/>
    </row>
    <row r="77" spans="2:16" x14ac:dyDescent="0.2">
      <c r="B77" s="99" t="s">
        <v>83</v>
      </c>
      <c r="C77" s="77">
        <f>IFERROR(VLOOKUP(B77,Belastningsfaktor!$B$9:$E$108,2,FALSE),"")</f>
        <v>82859</v>
      </c>
      <c r="D77" s="89">
        <f>IF($C$31="Ja",IFERROR(VLOOKUP(B77,Belastningsfaktor!$B$9:$F$108,3,FALSE),""),1)</f>
        <v>0.7602640362170322</v>
      </c>
      <c r="E77" s="115">
        <f t="shared" si="15"/>
        <v>569.47224870323998</v>
      </c>
      <c r="F77" s="85">
        <f t="shared" si="12"/>
        <v>6.872786887401972</v>
      </c>
      <c r="G77" s="85">
        <f t="shared" si="16"/>
        <v>209.01647358377761</v>
      </c>
      <c r="H77" s="85">
        <f t="shared" si="17"/>
        <v>89.578488678761843</v>
      </c>
      <c r="I77" s="85">
        <f t="shared" si="18"/>
        <v>243.78955779663042</v>
      </c>
      <c r="J77" s="85">
        <f t="shared" si="19"/>
        <v>27.087728644070047</v>
      </c>
      <c r="K77" s="85">
        <f t="shared" si="20"/>
        <v>0</v>
      </c>
      <c r="L77" s="85">
        <f t="shared" si="21"/>
        <v>0</v>
      </c>
      <c r="M77" s="85">
        <f t="shared" si="13"/>
        <v>0</v>
      </c>
      <c r="N77" s="85">
        <f t="shared" si="14"/>
        <v>0</v>
      </c>
      <c r="O77" s="85"/>
      <c r="P77" s="152"/>
    </row>
    <row r="78" spans="2:16" x14ac:dyDescent="0.2">
      <c r="B78" s="99" t="s">
        <v>84</v>
      </c>
      <c r="C78" s="77">
        <f>IFERROR(VLOOKUP(B78,Belastningsfaktor!$B$9:$E$108,2,FALSE),"")</f>
        <v>32830</v>
      </c>
      <c r="D78" s="89">
        <f>IF($C$31="Ja",IFERROR(VLOOKUP(B78,Belastningsfaktor!$B$9:$F$108,3,FALSE),""),1)</f>
        <v>0.56179436208625533</v>
      </c>
      <c r="E78" s="115">
        <f t="shared" si="15"/>
        <v>166.73112852191755</v>
      </c>
      <c r="F78" s="85">
        <f t="shared" si="12"/>
        <v>5.0786210332597488</v>
      </c>
      <c r="G78" s="85">
        <f t="shared" si="16"/>
        <v>61.196226154394054</v>
      </c>
      <c r="H78" s="85">
        <f t="shared" si="17"/>
        <v>26.226954066168883</v>
      </c>
      <c r="I78" s="85">
        <f t="shared" si="18"/>
        <v>71.377153471219145</v>
      </c>
      <c r="J78" s="85">
        <f t="shared" si="19"/>
        <v>7.9307948301354605</v>
      </c>
      <c r="K78" s="85">
        <f t="shared" si="20"/>
        <v>0</v>
      </c>
      <c r="L78" s="85">
        <f t="shared" si="21"/>
        <v>0</v>
      </c>
      <c r="M78" s="85">
        <f t="shared" si="13"/>
        <v>0</v>
      </c>
      <c r="N78" s="85">
        <f t="shared" si="14"/>
        <v>0</v>
      </c>
      <c r="O78" s="85"/>
      <c r="P78" s="152"/>
    </row>
    <row r="79" spans="2:16" x14ac:dyDescent="0.2">
      <c r="B79" s="99" t="s">
        <v>85</v>
      </c>
      <c r="C79" s="77">
        <f>IFERROR(VLOOKUP(B79,Belastningsfaktor!$B$9:$E$108,2,FALSE),"")</f>
        <v>34507</v>
      </c>
      <c r="D79" s="89">
        <f>IF($C$31="Ja",IFERROR(VLOOKUP(B79,Belastningsfaktor!$B$9:$F$108,3,FALSE),""),1)</f>
        <v>0.92877590442091673</v>
      </c>
      <c r="E79" s="115">
        <f t="shared" si="15"/>
        <v>289.72540201002727</v>
      </c>
      <c r="F79" s="85">
        <f t="shared" si="12"/>
        <v>8.3961341759650878</v>
      </c>
      <c r="G79" s="85">
        <f t="shared" si="16"/>
        <v>106.33947830412281</v>
      </c>
      <c r="H79" s="85">
        <f t="shared" si="17"/>
        <v>45.574062130338348</v>
      </c>
      <c r="I79" s="85">
        <f t="shared" si="18"/>
        <v>124.03067541800949</v>
      </c>
      <c r="J79" s="85">
        <f t="shared" si="19"/>
        <v>13.781186157556611</v>
      </c>
      <c r="K79" s="85">
        <f t="shared" si="20"/>
        <v>0</v>
      </c>
      <c r="L79" s="85">
        <f t="shared" si="21"/>
        <v>0</v>
      </c>
      <c r="M79" s="85">
        <f t="shared" si="13"/>
        <v>0</v>
      </c>
      <c r="N79" s="85">
        <f t="shared" si="14"/>
        <v>0</v>
      </c>
      <c r="O79" s="85"/>
      <c r="P79" s="152"/>
    </row>
    <row r="80" spans="2:16" x14ac:dyDescent="0.2">
      <c r="B80" s="99" t="s">
        <v>86</v>
      </c>
      <c r="C80" s="77">
        <f>IFERROR(VLOOKUP(B80,Belastningsfaktor!$B$9:$E$108,2,FALSE),"")</f>
        <v>78749</v>
      </c>
      <c r="D80" s="89">
        <f>IF($C$31="Ja",IFERROR(VLOOKUP(B80,Belastningsfaktor!$B$9:$F$108,3,FALSE),""),1)</f>
        <v>0.95212273427831562</v>
      </c>
      <c r="E80" s="115">
        <f t="shared" si="15"/>
        <v>677.80756734321517</v>
      </c>
      <c r="F80" s="85">
        <f t="shared" si="12"/>
        <v>8.6071895178759767</v>
      </c>
      <c r="G80" s="85">
        <f t="shared" si="16"/>
        <v>248.77937040318443</v>
      </c>
      <c r="H80" s="85">
        <f t="shared" si="17"/>
        <v>106.61973017279334</v>
      </c>
      <c r="I80" s="85">
        <f t="shared" si="18"/>
        <v>290.16762009051365</v>
      </c>
      <c r="J80" s="85">
        <f t="shared" si="19"/>
        <v>32.240846676723741</v>
      </c>
      <c r="K80" s="85">
        <f t="shared" si="20"/>
        <v>0</v>
      </c>
      <c r="L80" s="85">
        <f t="shared" si="21"/>
        <v>0</v>
      </c>
      <c r="M80" s="85">
        <f t="shared" si="13"/>
        <v>0</v>
      </c>
      <c r="N80" s="85">
        <f t="shared" si="14"/>
        <v>0</v>
      </c>
      <c r="O80" s="85"/>
      <c r="P80" s="152"/>
    </row>
    <row r="81" spans="2:16" x14ac:dyDescent="0.2">
      <c r="B81" s="99" t="s">
        <v>87</v>
      </c>
      <c r="C81" s="77">
        <f>IFERROR(VLOOKUP(B81,Belastningsfaktor!$B$9:$E$108,2,FALSE),"")</f>
        <v>29757</v>
      </c>
      <c r="D81" s="89">
        <f>IF($C$31="Ja",IFERROR(VLOOKUP(B81,Belastningsfaktor!$B$9:$F$108,3,FALSE),""),1)</f>
        <v>0.64180816606073932</v>
      </c>
      <c r="E81" s="115">
        <f t="shared" si="15"/>
        <v>172.64850180112356</v>
      </c>
      <c r="F81" s="85">
        <f t="shared" si="12"/>
        <v>5.8019458211890838</v>
      </c>
      <c r="G81" s="85">
        <f t="shared" si="16"/>
        <v>63.36811161240351</v>
      </c>
      <c r="H81" s="85">
        <f t="shared" si="17"/>
        <v>27.157762119601507</v>
      </c>
      <c r="I81" s="85">
        <f t="shared" si="18"/>
        <v>73.910365262206668</v>
      </c>
      <c r="J81" s="85">
        <f t="shared" si="19"/>
        <v>8.212262806911852</v>
      </c>
      <c r="K81" s="85">
        <f t="shared" si="20"/>
        <v>0</v>
      </c>
      <c r="L81" s="85">
        <f t="shared" si="21"/>
        <v>0</v>
      </c>
      <c r="M81" s="85">
        <f t="shared" si="13"/>
        <v>0</v>
      </c>
      <c r="N81" s="85">
        <f t="shared" si="14"/>
        <v>0</v>
      </c>
      <c r="O81" s="85"/>
      <c r="P81" s="152"/>
    </row>
    <row r="82" spans="2:16" x14ac:dyDescent="0.2">
      <c r="B82" s="99" t="s">
        <v>88</v>
      </c>
      <c r="C82" s="77">
        <f>IFERROR(VLOOKUP(B82,Belastningsfaktor!$B$9:$E$108,2,FALSE),"")</f>
        <v>22686</v>
      </c>
      <c r="D82" s="89">
        <f>IF($C$31="Ja",IFERROR(VLOOKUP(B82,Belastningsfaktor!$B$9:$F$108,3,FALSE),""),1)</f>
        <v>0.47882397655561898</v>
      </c>
      <c r="E82" s="115">
        <f t="shared" si="15"/>
        <v>98.197910618552598</v>
      </c>
      <c r="F82" s="85">
        <f t="shared" si="12"/>
        <v>4.3285687480627963</v>
      </c>
      <c r="G82" s="85">
        <f t="shared" si="16"/>
        <v>36.042109229243074</v>
      </c>
      <c r="H82" s="85">
        <f t="shared" si="17"/>
        <v>15.446618241104176</v>
      </c>
      <c r="I82" s="85">
        <f t="shared" si="18"/>
        <v>42.038264833384801</v>
      </c>
      <c r="J82" s="85">
        <f t="shared" si="19"/>
        <v>4.6709183148205335</v>
      </c>
      <c r="K82" s="85">
        <f t="shared" si="20"/>
        <v>0</v>
      </c>
      <c r="L82" s="85">
        <f t="shared" si="21"/>
        <v>0</v>
      </c>
      <c r="M82" s="85">
        <f t="shared" si="13"/>
        <v>0</v>
      </c>
      <c r="N82" s="85">
        <f t="shared" si="14"/>
        <v>0</v>
      </c>
      <c r="O82" s="85"/>
      <c r="P82" s="152"/>
    </row>
    <row r="83" spans="2:16" x14ac:dyDescent="0.2">
      <c r="B83" s="99" t="s">
        <v>89</v>
      </c>
      <c r="C83" s="77">
        <f>IFERROR(VLOOKUP(B83,Belastningsfaktor!$B$9:$E$108,2,FALSE),"")</f>
        <v>45357</v>
      </c>
      <c r="D83" s="89">
        <f>IF($C$31="Ja",IFERROR(VLOOKUP(B83,Belastningsfaktor!$B$9:$F$108,3,FALSE),""),1)</f>
        <v>0.69226644664482606</v>
      </c>
      <c r="E83" s="115">
        <f t="shared" si="15"/>
        <v>283.84812815304315</v>
      </c>
      <c r="F83" s="85">
        <f t="shared" si="12"/>
        <v>6.2580886776692273</v>
      </c>
      <c r="G83" s="85">
        <f t="shared" si="16"/>
        <v>104.18231075351734</v>
      </c>
      <c r="H83" s="85">
        <f t="shared" si="17"/>
        <v>44.649561751507434</v>
      </c>
      <c r="I83" s="85">
        <f t="shared" si="18"/>
        <v>121.5146300832165</v>
      </c>
      <c r="J83" s="85">
        <f t="shared" si="19"/>
        <v>13.501625564801834</v>
      </c>
      <c r="K83" s="85">
        <f t="shared" si="20"/>
        <v>0</v>
      </c>
      <c r="L83" s="85">
        <f t="shared" si="21"/>
        <v>0</v>
      </c>
      <c r="M83" s="85">
        <f t="shared" si="13"/>
        <v>0</v>
      </c>
      <c r="N83" s="85">
        <f t="shared" si="14"/>
        <v>0</v>
      </c>
      <c r="O83" s="85"/>
      <c r="P83" s="152"/>
    </row>
    <row r="84" spans="2:16" x14ac:dyDescent="0.2">
      <c r="B84" s="99" t="s">
        <v>90</v>
      </c>
      <c r="C84" s="77">
        <f>IFERROR(VLOOKUP(B84,Belastningsfaktor!$B$9:$E$108,2,FALSE),"")</f>
        <v>40900</v>
      </c>
      <c r="D84" s="89">
        <f>IF($C$31="Ja",IFERROR(VLOOKUP(B84,Belastningsfaktor!$B$9:$F$108,3,FALSE),""),1)</f>
        <v>0.56855669917937557</v>
      </c>
      <c r="E84" s="115">
        <f t="shared" si="15"/>
        <v>210.21587972778562</v>
      </c>
      <c r="F84" s="85">
        <f t="shared" si="12"/>
        <v>5.1397525605815551</v>
      </c>
      <c r="G84" s="85">
        <f t="shared" si="16"/>
        <v>77.156669130176155</v>
      </c>
      <c r="H84" s="85">
        <f t="shared" si="17"/>
        <v>33.067143912932643</v>
      </c>
      <c r="I84" s="85">
        <f t="shared" si="18"/>
        <v>89.992860016209121</v>
      </c>
      <c r="J84" s="85">
        <f t="shared" si="19"/>
        <v>9.9992066684676804</v>
      </c>
      <c r="K84" s="85">
        <f t="shared" si="20"/>
        <v>0</v>
      </c>
      <c r="L84" s="85">
        <f t="shared" si="21"/>
        <v>0</v>
      </c>
      <c r="M84" s="85">
        <f t="shared" si="13"/>
        <v>0</v>
      </c>
      <c r="N84" s="85">
        <f t="shared" si="14"/>
        <v>0</v>
      </c>
      <c r="O84" s="85"/>
      <c r="P84" s="152"/>
    </row>
    <row r="85" spans="2:16" x14ac:dyDescent="0.2">
      <c r="B85" s="99" t="s">
        <v>91</v>
      </c>
      <c r="C85" s="77">
        <f>IFERROR(VLOOKUP(B85,Belastningsfaktor!$B$9:$E$108,2,FALSE),"")</f>
        <v>51289</v>
      </c>
      <c r="D85" s="89">
        <f>IF($C$31="Ja",IFERROR(VLOOKUP(B85,Belastningsfaktor!$B$9:$F$108,3,FALSE),""),1)</f>
        <v>0.55175297601816653</v>
      </c>
      <c r="E85" s="115">
        <f t="shared" si="15"/>
        <v>255.82167981844151</v>
      </c>
      <c r="F85" s="85">
        <f t="shared" si="12"/>
        <v>4.9878469032042254</v>
      </c>
      <c r="G85" s="85">
        <f t="shared" si="16"/>
        <v>93.895612128051852</v>
      </c>
      <c r="H85" s="85">
        <f t="shared" si="17"/>
        <v>40.240976626307933</v>
      </c>
      <c r="I85" s="85">
        <f t="shared" si="18"/>
        <v>109.51658195767354</v>
      </c>
      <c r="J85" s="85">
        <f t="shared" si="19"/>
        <v>12.168509106408171</v>
      </c>
      <c r="K85" s="85">
        <f t="shared" si="20"/>
        <v>0</v>
      </c>
      <c r="L85" s="85">
        <f t="shared" si="21"/>
        <v>0</v>
      </c>
      <c r="M85" s="85">
        <f t="shared" si="13"/>
        <v>0</v>
      </c>
      <c r="N85" s="85">
        <f t="shared" si="14"/>
        <v>0</v>
      </c>
      <c r="O85" s="85"/>
      <c r="P85" s="152"/>
    </row>
    <row r="86" spans="2:16" x14ac:dyDescent="0.2">
      <c r="B86" s="99" t="s">
        <v>92</v>
      </c>
      <c r="C86" s="77">
        <f>IFERROR(VLOOKUP(B86,Belastningsfaktor!$B$9:$E$108,2,FALSE),"")</f>
        <v>23714</v>
      </c>
      <c r="D86" s="89">
        <f>IF($C$31="Ja",IFERROR(VLOOKUP(B86,Belastningsfaktor!$B$9:$F$108,3,FALSE),""),1)</f>
        <v>0.60363930366170993</v>
      </c>
      <c r="E86" s="115">
        <f t="shared" si="15"/>
        <v>129.40491012118545</v>
      </c>
      <c r="F86" s="85">
        <f t="shared" si="12"/>
        <v>5.4568993051018575</v>
      </c>
      <c r="G86" s="85">
        <f t="shared" si="16"/>
        <v>47.496182719258094</v>
      </c>
      <c r="H86" s="85">
        <f t="shared" si="17"/>
        <v>20.355506879682043</v>
      </c>
      <c r="I86" s="85">
        <f t="shared" si="18"/>
        <v>55.397898470020777</v>
      </c>
      <c r="J86" s="85">
        <f t="shared" si="19"/>
        <v>6.1553220522245304</v>
      </c>
      <c r="K86" s="85">
        <f t="shared" si="20"/>
        <v>0</v>
      </c>
      <c r="L86" s="85">
        <f t="shared" si="21"/>
        <v>0</v>
      </c>
      <c r="M86" s="85">
        <f t="shared" si="13"/>
        <v>0</v>
      </c>
      <c r="N86" s="85">
        <f t="shared" si="14"/>
        <v>0</v>
      </c>
      <c r="O86" s="85"/>
      <c r="P86" s="152"/>
    </row>
    <row r="87" spans="2:16" x14ac:dyDescent="0.2">
      <c r="B87" s="99" t="s">
        <v>93</v>
      </c>
      <c r="C87" s="77">
        <f>IFERROR(VLOOKUP(B87,Belastningsfaktor!$B$9:$E$108,2,FALSE),"")</f>
        <v>12445</v>
      </c>
      <c r="D87" s="89">
        <f>IF($C$31="Ja",IFERROR(VLOOKUP(B87,Belastningsfaktor!$B$9:$F$108,3,FALSE),""),1)</f>
        <v>0.54969829971260842</v>
      </c>
      <c r="E87" s="115">
        <f t="shared" si="15"/>
        <v>61.842597872907646</v>
      </c>
      <c r="F87" s="85">
        <f t="shared" si="12"/>
        <v>4.9692726294019804</v>
      </c>
      <c r="G87" s="85">
        <f t="shared" si="16"/>
        <v>22.698422537865873</v>
      </c>
      <c r="H87" s="85">
        <f t="shared" si="17"/>
        <v>9.7278953733710889</v>
      </c>
      <c r="I87" s="85">
        <f t="shared" si="18"/>
        <v>26.474651965503611</v>
      </c>
      <c r="J87" s="85">
        <f t="shared" si="19"/>
        <v>2.9416279961670679</v>
      </c>
      <c r="K87" s="85">
        <f t="shared" si="20"/>
        <v>0</v>
      </c>
      <c r="L87" s="85">
        <f t="shared" si="21"/>
        <v>0</v>
      </c>
      <c r="M87" s="85">
        <f t="shared" si="13"/>
        <v>0</v>
      </c>
      <c r="N87" s="85">
        <f t="shared" si="14"/>
        <v>0</v>
      </c>
      <c r="O87" s="85"/>
      <c r="P87" s="152"/>
    </row>
    <row r="88" spans="2:16" x14ac:dyDescent="0.2">
      <c r="B88" s="99" t="s">
        <v>94</v>
      </c>
      <c r="C88" s="77">
        <f>IFERROR(VLOOKUP(B88,Belastningsfaktor!$B$9:$E$108,2,FALSE),"")</f>
        <v>38676</v>
      </c>
      <c r="D88" s="89">
        <f>IF($C$31="Ja",IFERROR(VLOOKUP(B88,Belastningsfaktor!$B$9:$F$108,3,FALSE),""),1)</f>
        <v>0.65575413952698525</v>
      </c>
      <c r="E88" s="115">
        <f t="shared" si="15"/>
        <v>229.27200178712496</v>
      </c>
      <c r="F88" s="85">
        <f t="shared" si="12"/>
        <v>5.9280174213239469</v>
      </c>
      <c r="G88" s="85">
        <f t="shared" si="16"/>
        <v>84.15094047894695</v>
      </c>
      <c r="H88" s="85">
        <f t="shared" si="17"/>
        <v>36.064688776691547</v>
      </c>
      <c r="I88" s="85">
        <f t="shared" si="18"/>
        <v>98.150735278337805</v>
      </c>
      <c r="J88" s="85">
        <f t="shared" si="19"/>
        <v>10.905637253148646</v>
      </c>
      <c r="K88" s="85">
        <f t="shared" si="20"/>
        <v>0</v>
      </c>
      <c r="L88" s="85">
        <f t="shared" si="21"/>
        <v>0</v>
      </c>
      <c r="M88" s="85">
        <f t="shared" si="13"/>
        <v>0</v>
      </c>
      <c r="N88" s="85">
        <f t="shared" si="14"/>
        <v>0</v>
      </c>
      <c r="O88" s="85"/>
      <c r="P88" s="152"/>
    </row>
    <row r="89" spans="2:16" x14ac:dyDescent="0.2">
      <c r="B89" s="99" t="s">
        <v>95</v>
      </c>
      <c r="C89" s="77">
        <f>IFERROR(VLOOKUP(B89,Belastningsfaktor!$B$9:$E$108,2,FALSE),"")</f>
        <v>29549</v>
      </c>
      <c r="D89" s="89">
        <f>IF($C$31="Ja",IFERROR(VLOOKUP(B89,Belastningsfaktor!$B$9:$F$108,3,FALSE),""),1)</f>
        <v>0.51221700553777127</v>
      </c>
      <c r="E89" s="115">
        <f t="shared" si="15"/>
        <v>136.82492268158586</v>
      </c>
      <c r="F89" s="85">
        <f t="shared" si="12"/>
        <v>4.6304417300614524</v>
      </c>
      <c r="G89" s="85">
        <f t="shared" si="16"/>
        <v>50.219589984236926</v>
      </c>
      <c r="H89" s="85">
        <f t="shared" si="17"/>
        <v>21.522681421815825</v>
      </c>
      <c r="I89" s="85">
        <f t="shared" si="18"/>
        <v>58.574386147979801</v>
      </c>
      <c r="J89" s="85">
        <f t="shared" si="19"/>
        <v>6.5082651275533117</v>
      </c>
      <c r="K89" s="85">
        <f t="shared" si="20"/>
        <v>0</v>
      </c>
      <c r="L89" s="85">
        <f t="shared" si="21"/>
        <v>0</v>
      </c>
      <c r="M89" s="85">
        <f t="shared" si="13"/>
        <v>0</v>
      </c>
      <c r="N89" s="85">
        <f t="shared" si="14"/>
        <v>0</v>
      </c>
      <c r="O89" s="85"/>
      <c r="P89" s="152"/>
    </row>
    <row r="90" spans="2:16" x14ac:dyDescent="0.2">
      <c r="B90" s="99" t="s">
        <v>96</v>
      </c>
      <c r="C90" s="77">
        <f>IFERROR(VLOOKUP(B90,Belastningsfaktor!$B$9:$E$108,2,FALSE),"")</f>
        <v>31941</v>
      </c>
      <c r="D90" s="89">
        <f>IF($C$31="Ja",IFERROR(VLOOKUP(B90,Belastningsfaktor!$B$9:$F$108,3,FALSE),""),1)</f>
        <v>0.72074842393354044</v>
      </c>
      <c r="E90" s="115">
        <f t="shared" si="15"/>
        <v>208.11368569610542</v>
      </c>
      <c r="F90" s="85">
        <f t="shared" si="12"/>
        <v>6.5155657523592065</v>
      </c>
      <c r="G90" s="85">
        <f t="shared" si="16"/>
        <v>76.385089506601503</v>
      </c>
      <c r="H90" s="85">
        <f t="shared" si="17"/>
        <v>32.736466931400642</v>
      </c>
      <c r="I90" s="85">
        <f t="shared" si="18"/>
        <v>89.092916332292944</v>
      </c>
      <c r="J90" s="85">
        <f t="shared" si="19"/>
        <v>9.8992129258103265</v>
      </c>
      <c r="K90" s="85">
        <f t="shared" si="20"/>
        <v>0</v>
      </c>
      <c r="L90" s="85">
        <f t="shared" si="21"/>
        <v>0</v>
      </c>
      <c r="M90" s="85">
        <f t="shared" si="13"/>
        <v>0</v>
      </c>
      <c r="N90" s="85">
        <f t="shared" si="14"/>
        <v>0</v>
      </c>
      <c r="O90" s="85"/>
      <c r="P90" s="152"/>
    </row>
    <row r="91" spans="2:16" x14ac:dyDescent="0.2">
      <c r="B91" s="99" t="s">
        <v>97</v>
      </c>
      <c r="C91" s="77">
        <f>IFERROR(VLOOKUP(B91,Belastningsfaktor!$B$9:$E$108,2,FALSE),"")</f>
        <v>203369</v>
      </c>
      <c r="D91" s="89">
        <f>IF($C$31="Ja",IFERROR(VLOOKUP(B91,Belastningsfaktor!$B$9:$F$108,3,FALSE),""),1)</f>
        <v>1.0483243677283016</v>
      </c>
      <c r="E91" s="115">
        <f t="shared" si="15"/>
        <v>1927.2979721984545</v>
      </c>
      <c r="F91" s="85">
        <f t="shared" si="12"/>
        <v>9.4768522842638472</v>
      </c>
      <c r="G91" s="85">
        <f t="shared" si="16"/>
        <v>707.3865787339015</v>
      </c>
      <c r="H91" s="85">
        <f t="shared" si="17"/>
        <v>303.1656766002435</v>
      </c>
      <c r="I91" s="85">
        <f t="shared" si="18"/>
        <v>825.07114517787841</v>
      </c>
      <c r="J91" s="85">
        <f t="shared" si="19"/>
        <v>91.674571686430937</v>
      </c>
      <c r="K91" s="85">
        <f t="shared" si="20"/>
        <v>0</v>
      </c>
      <c r="L91" s="85">
        <f t="shared" si="21"/>
        <v>0</v>
      </c>
      <c r="M91" s="85">
        <f t="shared" si="13"/>
        <v>0</v>
      </c>
      <c r="N91" s="85">
        <f t="shared" si="14"/>
        <v>0</v>
      </c>
      <c r="O91" s="85"/>
      <c r="P91" s="152"/>
    </row>
    <row r="92" spans="2:16" x14ac:dyDescent="0.2">
      <c r="B92" s="99" t="s">
        <v>98</v>
      </c>
      <c r="C92" s="77">
        <f>IFERROR(VLOOKUP(B92,Belastningsfaktor!$B$9:$E$108,2,FALSE),"")</f>
        <v>57959</v>
      </c>
      <c r="D92" s="89">
        <f>IF($C$31="Ja",IFERROR(VLOOKUP(B92,Belastningsfaktor!$B$9:$F$108,3,FALSE),""),1)</f>
        <v>0.73132330898377018</v>
      </c>
      <c r="E92" s="115">
        <f t="shared" si="15"/>
        <v>383.17637969512862</v>
      </c>
      <c r="F92" s="85">
        <f t="shared" si="12"/>
        <v>6.6111627132132824</v>
      </c>
      <c r="G92" s="85">
        <f t="shared" si="16"/>
        <v>140.63929511376509</v>
      </c>
      <c r="H92" s="85">
        <f t="shared" si="17"/>
        <v>60.273983620185035</v>
      </c>
      <c r="I92" s="85">
        <f t="shared" si="18"/>
        <v>164.03679086506062</v>
      </c>
      <c r="J92" s="85">
        <f t="shared" si="19"/>
        <v>18.226310096117846</v>
      </c>
      <c r="K92" s="85">
        <f t="shared" si="20"/>
        <v>0</v>
      </c>
      <c r="L92" s="85">
        <f t="shared" si="21"/>
        <v>0</v>
      </c>
      <c r="M92" s="85">
        <f t="shared" si="13"/>
        <v>0</v>
      </c>
      <c r="N92" s="85">
        <f t="shared" si="14"/>
        <v>0</v>
      </c>
      <c r="O92" s="85"/>
      <c r="P92" s="152"/>
    </row>
    <row r="93" spans="2:16" x14ac:dyDescent="0.2">
      <c r="B93" s="99" t="s">
        <v>99</v>
      </c>
      <c r="C93" s="77">
        <f>IFERROR(VLOOKUP(B93,Belastningsfaktor!$B$9:$E$108,2,FALSE),"")</f>
        <v>5948</v>
      </c>
      <c r="D93" s="89">
        <f>IF($C$31="Ja",IFERROR(VLOOKUP(B93,Belastningsfaktor!$B$9:$F$108,3,FALSE),""),1)</f>
        <v>0.53054002076876139</v>
      </c>
      <c r="E93" s="115">
        <f t="shared" si="15"/>
        <v>28.527094473534643</v>
      </c>
      <c r="F93" s="85">
        <f t="shared" si="12"/>
        <v>4.7960817877496043</v>
      </c>
      <c r="G93" s="85">
        <f t="shared" si="16"/>
        <v>10.47045348044114</v>
      </c>
      <c r="H93" s="85">
        <f t="shared" si="17"/>
        <v>4.4873372059033461</v>
      </c>
      <c r="I93" s="85">
        <f t="shared" si="18"/>
        <v>12.212373408471137</v>
      </c>
      <c r="J93" s="85">
        <f t="shared" si="19"/>
        <v>1.3569303787190155</v>
      </c>
      <c r="K93" s="85">
        <f t="shared" si="20"/>
        <v>0</v>
      </c>
      <c r="L93" s="85">
        <f t="shared" si="21"/>
        <v>0</v>
      </c>
      <c r="M93" s="85">
        <f t="shared" si="13"/>
        <v>0</v>
      </c>
      <c r="N93" s="85">
        <f t="shared" si="14"/>
        <v>0</v>
      </c>
      <c r="O93" s="85"/>
      <c r="P93" s="152"/>
    </row>
    <row r="94" spans="2:16" x14ac:dyDescent="0.2">
      <c r="B94" s="99" t="s">
        <v>100</v>
      </c>
      <c r="C94" s="77">
        <f>IFERROR(VLOOKUP(B94,Belastningsfaktor!$B$9:$E$108,2,FALSE),"")</f>
        <v>26548</v>
      </c>
      <c r="D94" s="89">
        <f>IF($C$31="Ja",IFERROR(VLOOKUP(B94,Belastningsfaktor!$B$9:$F$108,3,FALSE),""),1)</f>
        <v>0.78807406319485707</v>
      </c>
      <c r="E94" s="115">
        <f t="shared" si="15"/>
        <v>189.13298367646149</v>
      </c>
      <c r="F94" s="85">
        <f t="shared" si="12"/>
        <v>7.1241895312815089</v>
      </c>
      <c r="G94" s="85">
        <f t="shared" si="16"/>
        <v>69.418499982134847</v>
      </c>
      <c r="H94" s="85">
        <f t="shared" si="17"/>
        <v>29.750785706629223</v>
      </c>
      <c r="I94" s="85">
        <f t="shared" si="18"/>
        <v>80.967328188927667</v>
      </c>
      <c r="J94" s="85">
        <f t="shared" si="19"/>
        <v>8.9963697987697397</v>
      </c>
      <c r="K94" s="85">
        <f t="shared" si="20"/>
        <v>0</v>
      </c>
      <c r="L94" s="85">
        <f t="shared" si="21"/>
        <v>0</v>
      </c>
      <c r="M94" s="85">
        <f t="shared" si="13"/>
        <v>0</v>
      </c>
      <c r="N94" s="85">
        <f t="shared" si="14"/>
        <v>0</v>
      </c>
      <c r="O94" s="85"/>
      <c r="P94" s="152"/>
    </row>
    <row r="95" spans="2:16" x14ac:dyDescent="0.2">
      <c r="B95" s="99" t="s">
        <v>101</v>
      </c>
      <c r="C95" s="77">
        <f>IFERROR(VLOOKUP(B95,Belastningsfaktor!$B$9:$E$108,2,FALSE),"")</f>
        <v>115073</v>
      </c>
      <c r="D95" s="89">
        <f>IF($C$31="Ja",IFERROR(VLOOKUP(B95,Belastningsfaktor!$B$9:$F$108,3,FALSE),""),1)</f>
        <v>0.92722242596377746</v>
      </c>
      <c r="E95" s="115">
        <f t="shared" si="15"/>
        <v>964.55232665528513</v>
      </c>
      <c r="F95" s="85">
        <f t="shared" si="12"/>
        <v>8.3820907307125498</v>
      </c>
      <c r="G95" s="85">
        <f t="shared" si="16"/>
        <v>354.0248473276809</v>
      </c>
      <c r="H95" s="85">
        <f t="shared" si="17"/>
        <v>151.72493456900611</v>
      </c>
      <c r="I95" s="85">
        <f t="shared" si="18"/>
        <v>412.92229028273829</v>
      </c>
      <c r="J95" s="85">
        <f t="shared" si="19"/>
        <v>45.880254475859807</v>
      </c>
      <c r="K95" s="85">
        <f t="shared" si="20"/>
        <v>0</v>
      </c>
      <c r="L95" s="85">
        <f t="shared" si="21"/>
        <v>0</v>
      </c>
      <c r="M95" s="85">
        <f t="shared" si="13"/>
        <v>0</v>
      </c>
      <c r="N95" s="85">
        <f t="shared" si="14"/>
        <v>0</v>
      </c>
      <c r="O95" s="85"/>
      <c r="P95" s="152"/>
    </row>
    <row r="96" spans="2:16" x14ac:dyDescent="0.2">
      <c r="B96" s="99" t="s">
        <v>102</v>
      </c>
      <c r="C96" s="77">
        <f>IFERROR(VLOOKUP(B96,Belastningsfaktor!$B$9:$E$108,2,FALSE),"")</f>
        <v>3478</v>
      </c>
      <c r="D96" s="89">
        <f>IF($C$31="Ja",IFERROR(VLOOKUP(B96,Belastningsfaktor!$B$9:$F$108,3,FALSE),""),1)</f>
        <v>0.48134036493103549</v>
      </c>
      <c r="E96" s="115">
        <f t="shared" si="15"/>
        <v>15.133880174640479</v>
      </c>
      <c r="F96" s="85">
        <f t="shared" si="12"/>
        <v>4.3513168989765605</v>
      </c>
      <c r="G96" s="85">
        <f t="shared" si="16"/>
        <v>5.5546697366656081</v>
      </c>
      <c r="H96" s="85">
        <f t="shared" si="17"/>
        <v>2.3805727442852604</v>
      </c>
      <c r="I96" s="85">
        <f t="shared" si="18"/>
        <v>6.4787739243206488</v>
      </c>
      <c r="J96" s="85">
        <f t="shared" si="19"/>
        <v>0.71986376936896102</v>
      </c>
      <c r="K96" s="85">
        <f t="shared" si="20"/>
        <v>0</v>
      </c>
      <c r="L96" s="85">
        <f t="shared" si="21"/>
        <v>0</v>
      </c>
      <c r="M96" s="85">
        <f t="shared" si="13"/>
        <v>0</v>
      </c>
      <c r="N96" s="85">
        <f t="shared" si="14"/>
        <v>0</v>
      </c>
      <c r="O96" s="85"/>
      <c r="P96" s="152"/>
    </row>
    <row r="97" spans="2:16" x14ac:dyDescent="0.2">
      <c r="B97" s="99" t="s">
        <v>103</v>
      </c>
      <c r="C97" s="77">
        <f>IFERROR(VLOOKUP(B97,Belastningsfaktor!$B$9:$E$108,2,FALSE),"")</f>
        <v>51135</v>
      </c>
      <c r="D97" s="89">
        <f>IF($C$31="Ja",IFERROR(VLOOKUP(B97,Belastningsfaktor!$B$9:$F$108,3,FALSE),""),1)</f>
        <v>1.0221516784807914</v>
      </c>
      <c r="E97" s="115">
        <f t="shared" si="15"/>
        <v>472.50024375520201</v>
      </c>
      <c r="F97" s="85">
        <f t="shared" si="12"/>
        <v>9.2402511734663531</v>
      </c>
      <c r="G97" s="85">
        <f t="shared" si="16"/>
        <v>173.4243151305044</v>
      </c>
      <c r="H97" s="85">
        <f t="shared" si="17"/>
        <v>74.324706484501888</v>
      </c>
      <c r="I97" s="85">
        <f t="shared" si="18"/>
        <v>202.27609992617613</v>
      </c>
      <c r="J97" s="85">
        <f t="shared" si="19"/>
        <v>22.475122214019571</v>
      </c>
      <c r="K97" s="85">
        <f t="shared" si="20"/>
        <v>0</v>
      </c>
      <c r="L97" s="85">
        <f t="shared" si="21"/>
        <v>0</v>
      </c>
      <c r="M97" s="85">
        <f t="shared" si="13"/>
        <v>0</v>
      </c>
      <c r="N97" s="85">
        <f t="shared" si="14"/>
        <v>0</v>
      </c>
      <c r="O97" s="85"/>
      <c r="P97" s="152"/>
    </row>
    <row r="98" spans="2:16" x14ac:dyDescent="0.2">
      <c r="B98" s="99" t="s">
        <v>104</v>
      </c>
      <c r="C98" s="77">
        <f>IFERROR(VLOOKUP(B98,Belastningsfaktor!$B$9:$E$108,2,FALSE),"")</f>
        <v>55582</v>
      </c>
      <c r="D98" s="89">
        <f>IF($C$31="Ja",IFERROR(VLOOKUP(B98,Belastningsfaktor!$B$9:$F$108,3,FALSE),""),1)</f>
        <v>0.79068475782204661</v>
      </c>
      <c r="E98" s="115">
        <f t="shared" si="15"/>
        <v>397.28847549175555</v>
      </c>
      <c r="F98" s="85">
        <f t="shared" si="12"/>
        <v>7.1477902107113014</v>
      </c>
      <c r="G98" s="85">
        <f t="shared" si="16"/>
        <v>145.81893381434122</v>
      </c>
      <c r="H98" s="85">
        <f t="shared" si="17"/>
        <v>62.493828777574805</v>
      </c>
      <c r="I98" s="85">
        <f t="shared" si="18"/>
        <v>170.07814160985555</v>
      </c>
      <c r="J98" s="85">
        <f t="shared" si="19"/>
        <v>18.897571289983951</v>
      </c>
      <c r="K98" s="85">
        <f t="shared" si="20"/>
        <v>0</v>
      </c>
      <c r="L98" s="85">
        <f t="shared" si="21"/>
        <v>0</v>
      </c>
      <c r="M98" s="85">
        <f t="shared" si="13"/>
        <v>0</v>
      </c>
      <c r="N98" s="85">
        <f t="shared" si="14"/>
        <v>0</v>
      </c>
      <c r="O98" s="85"/>
      <c r="P98" s="152"/>
    </row>
    <row r="99" spans="2:16" x14ac:dyDescent="0.2">
      <c r="B99" s="99" t="s">
        <v>105</v>
      </c>
      <c r="C99" s="77">
        <f>IFERROR(VLOOKUP(B99,Belastningsfaktor!$B$9:$E$108,2,FALSE),"")</f>
        <v>92837</v>
      </c>
      <c r="D99" s="89">
        <f>IF($C$31="Ja",IFERROR(VLOOKUP(B99,Belastningsfaktor!$B$9:$F$108,3,FALSE),""),1)</f>
        <v>0.93608377117627217</v>
      </c>
      <c r="E99" s="115">
        <f t="shared" si="15"/>
        <v>785.60500994481197</v>
      </c>
      <c r="F99" s="85">
        <f t="shared" si="12"/>
        <v>8.4621972914335011</v>
      </c>
      <c r="G99" s="85">
        <f t="shared" si="16"/>
        <v>288.34484767664662</v>
      </c>
      <c r="H99" s="85">
        <f t="shared" si="17"/>
        <v>123.57636328999141</v>
      </c>
      <c r="I99" s="85">
        <f t="shared" si="18"/>
        <v>336.31541908035655</v>
      </c>
      <c r="J99" s="85">
        <f t="shared" si="19"/>
        <v>37.368379897817391</v>
      </c>
      <c r="K99" s="85">
        <f t="shared" si="20"/>
        <v>0</v>
      </c>
      <c r="L99" s="85">
        <f t="shared" si="21"/>
        <v>0</v>
      </c>
      <c r="M99" s="85">
        <f t="shared" si="13"/>
        <v>0</v>
      </c>
      <c r="N99" s="85">
        <f t="shared" si="14"/>
        <v>0</v>
      </c>
      <c r="O99" s="85"/>
      <c r="P99" s="152"/>
    </row>
    <row r="100" spans="2:16" x14ac:dyDescent="0.2">
      <c r="B100" s="99" t="s">
        <v>106</v>
      </c>
      <c r="C100" s="77">
        <f>IFERROR(VLOOKUP(B100,Belastningsfaktor!$B$9:$E$108,2,FALSE),"")</f>
        <v>73947</v>
      </c>
      <c r="D100" s="89">
        <f>IF($C$31="Ja",IFERROR(VLOOKUP(B100,Belastningsfaktor!$B$9:$F$108,3,FALSE),""),1)</f>
        <v>0.78963779569520731</v>
      </c>
      <c r="E100" s="115">
        <f t="shared" si="15"/>
        <v>527.85776854759251</v>
      </c>
      <c r="F100" s="85">
        <f t="shared" si="12"/>
        <v>7.138325673084676</v>
      </c>
      <c r="G100" s="85">
        <f t="shared" si="16"/>
        <v>193.74248628771144</v>
      </c>
      <c r="H100" s="85">
        <f t="shared" si="17"/>
        <v>83.032494123304915</v>
      </c>
      <c r="I100" s="85">
        <f t="shared" si="18"/>
        <v>225.97450932291849</v>
      </c>
      <c r="J100" s="85">
        <f t="shared" si="19"/>
        <v>25.108278813657613</v>
      </c>
      <c r="K100" s="85">
        <f t="shared" si="20"/>
        <v>0</v>
      </c>
      <c r="L100" s="85">
        <f t="shared" si="21"/>
        <v>0</v>
      </c>
      <c r="M100" s="85">
        <f t="shared" si="13"/>
        <v>0</v>
      </c>
      <c r="N100" s="85">
        <f t="shared" si="14"/>
        <v>0</v>
      </c>
      <c r="O100" s="85"/>
      <c r="P100" s="152"/>
    </row>
    <row r="101" spans="2:16" x14ac:dyDescent="0.2">
      <c r="B101" s="99" t="s">
        <v>107</v>
      </c>
      <c r="C101" s="77">
        <f>IFERROR(VLOOKUP(B101,Belastningsfaktor!$B$9:$E$108,2,FALSE),"")</f>
        <v>37282</v>
      </c>
      <c r="D101" s="89">
        <f>IF($C$31="Ja",IFERROR(VLOOKUP(B101,Belastningsfaktor!$B$9:$F$108,3,FALSE),""),1)</f>
        <v>0.62986130735912238</v>
      </c>
      <c r="E101" s="115">
        <f t="shared" si="15"/>
        <v>212.28170291910376</v>
      </c>
      <c r="F101" s="85">
        <f t="shared" si="12"/>
        <v>5.6939462185264675</v>
      </c>
      <c r="G101" s="85">
        <f t="shared" si="16"/>
        <v>77.914899367874568</v>
      </c>
      <c r="H101" s="85">
        <f t="shared" si="17"/>
        <v>33.392099729089104</v>
      </c>
      <c r="I101" s="85">
        <f t="shared" si="18"/>
        <v>90.877233439926073</v>
      </c>
      <c r="J101" s="85">
        <f t="shared" si="19"/>
        <v>10.097470382214009</v>
      </c>
      <c r="K101" s="85">
        <f t="shared" si="20"/>
        <v>0</v>
      </c>
      <c r="L101" s="85">
        <f t="shared" si="21"/>
        <v>0</v>
      </c>
      <c r="M101" s="85">
        <f t="shared" si="13"/>
        <v>0</v>
      </c>
      <c r="N101" s="85">
        <f t="shared" si="14"/>
        <v>0</v>
      </c>
      <c r="O101" s="85"/>
      <c r="P101" s="152"/>
    </row>
    <row r="102" spans="2:16" x14ac:dyDescent="0.2">
      <c r="B102" s="99" t="s">
        <v>108</v>
      </c>
      <c r="C102" s="77">
        <f>IFERROR(VLOOKUP(B102,Belastningsfaktor!$B$9:$E$108,2,FALSE),"")</f>
        <v>49576</v>
      </c>
      <c r="D102" s="89">
        <f>IF($C$31="Ja",IFERROR(VLOOKUP(B102,Belastningsfaktor!$B$9:$F$108,3,FALSE),""),1)</f>
        <v>0.62671168952150258</v>
      </c>
      <c r="E102" s="115">
        <f t="shared" si="15"/>
        <v>280.87152282625084</v>
      </c>
      <c r="F102" s="85">
        <f t="shared" si="12"/>
        <v>5.6654736732743833</v>
      </c>
      <c r="G102" s="85">
        <f t="shared" ref="G102:G135" si="22">$E102*($H$17/$H$24)*$D$7</f>
        <v>103.08979123202434</v>
      </c>
      <c r="H102" s="85">
        <f t="shared" ref="H102:H135" si="23">$E102*($H$17/$H$24)*$E$7</f>
        <v>44.181339099439008</v>
      </c>
      <c r="I102" s="85">
        <f t="shared" ref="I102:I135" si="24">$E102*($H$18/$H$24)*$D$8</f>
        <v>120.24035324530874</v>
      </c>
      <c r="J102" s="85">
        <f t="shared" ref="J102:J135" si="25">$E102*($H$18/$H$24)*$E$8</f>
        <v>13.360039249478749</v>
      </c>
      <c r="K102" s="85">
        <f t="shared" ref="K102:K135" si="26">$E102*($H$19/$H$24)*$D$9</f>
        <v>0</v>
      </c>
      <c r="L102" s="85">
        <f t="shared" ref="L102:L135" si="27">$E102*($H$19/$H$24)*$E$9</f>
        <v>0</v>
      </c>
      <c r="M102" s="85">
        <f t="shared" si="13"/>
        <v>0</v>
      </c>
      <c r="N102" s="85">
        <f t="shared" si="14"/>
        <v>0</v>
      </c>
      <c r="O102" s="85"/>
      <c r="P102" s="152"/>
    </row>
    <row r="103" spans="2:16" x14ac:dyDescent="0.2">
      <c r="B103" s="99" t="s">
        <v>109</v>
      </c>
      <c r="C103" s="77">
        <f>IFERROR(VLOOKUP(B103,Belastningsfaktor!$B$9:$E$108,2,FALSE),"")</f>
        <v>42665</v>
      </c>
      <c r="D103" s="89">
        <f>IF($C$31="Ja",IFERROR(VLOOKUP(B103,Belastningsfaktor!$B$9:$F$108,3,FALSE),""),1)</f>
        <v>0.61387319512567773</v>
      </c>
      <c r="E103" s="115">
        <f t="shared" ref="E103:E135" si="28">$H$24*(C103/$C$37)*D103*1000</f>
        <v>236.76573482513484</v>
      </c>
      <c r="F103" s="85">
        <f t="shared" ref="F103:F135" si="29">E103/C103*1000</f>
        <v>5.5494136839361268</v>
      </c>
      <c r="G103" s="85">
        <f t="shared" si="22"/>
        <v>86.90140576878288</v>
      </c>
      <c r="H103" s="85">
        <f t="shared" si="23"/>
        <v>37.243459615192663</v>
      </c>
      <c r="I103" s="85">
        <f t="shared" si="24"/>
        <v>101.35878249704336</v>
      </c>
      <c r="J103" s="85">
        <f t="shared" si="25"/>
        <v>11.262086944115929</v>
      </c>
      <c r="K103" s="85">
        <f t="shared" si="26"/>
        <v>0</v>
      </c>
      <c r="L103" s="85">
        <f t="shared" si="27"/>
        <v>0</v>
      </c>
      <c r="M103" s="85">
        <f t="shared" ref="M103:M135" si="30">$E103*($H$21/$H$24)</f>
        <v>0</v>
      </c>
      <c r="N103" s="85">
        <f t="shared" ref="N103:N135" si="31">$E103*(($H$22+$H$23)/$H$24)</f>
        <v>0</v>
      </c>
      <c r="O103" s="85"/>
      <c r="P103" s="152"/>
    </row>
    <row r="104" spans="2:16" x14ac:dyDescent="0.2">
      <c r="B104" s="99" t="s">
        <v>110</v>
      </c>
      <c r="C104" s="77">
        <f>IFERROR(VLOOKUP(B104,Belastningsfaktor!$B$9:$E$108,2,FALSE),"")</f>
        <v>115014</v>
      </c>
      <c r="D104" s="89">
        <f>IF($C$31="Ja",IFERROR(VLOOKUP(B104,Belastningsfaktor!$B$9:$F$108,3,FALSE),""),1)</f>
        <v>0.88290878119988769</v>
      </c>
      <c r="E104" s="115">
        <f t="shared" si="28"/>
        <v>917.98370987075191</v>
      </c>
      <c r="F104" s="85">
        <f t="shared" si="29"/>
        <v>7.9814953820469841</v>
      </c>
      <c r="G104" s="85">
        <f t="shared" si="22"/>
        <v>336.93251652114537</v>
      </c>
      <c r="H104" s="85">
        <f t="shared" si="23"/>
        <v>144.39964993763374</v>
      </c>
      <c r="I104" s="85">
        <f t="shared" si="24"/>
        <v>392.98638907077554</v>
      </c>
      <c r="J104" s="85">
        <f t="shared" si="25"/>
        <v>43.66515434119728</v>
      </c>
      <c r="K104" s="85">
        <f t="shared" si="26"/>
        <v>0</v>
      </c>
      <c r="L104" s="85">
        <f t="shared" si="27"/>
        <v>0</v>
      </c>
      <c r="M104" s="85">
        <f t="shared" si="30"/>
        <v>0</v>
      </c>
      <c r="N104" s="85">
        <f t="shared" si="31"/>
        <v>0</v>
      </c>
      <c r="O104" s="85"/>
      <c r="P104" s="152"/>
    </row>
    <row r="105" spans="2:16" x14ac:dyDescent="0.2">
      <c r="B105" s="99" t="s">
        <v>111</v>
      </c>
      <c r="C105" s="77">
        <f>IFERROR(VLOOKUP(B105,Belastningsfaktor!$B$9:$E$108,2,FALSE),"")</f>
        <v>58582</v>
      </c>
      <c r="D105" s="89">
        <f>IF($C$31="Ja",IFERROR(VLOOKUP(B105,Belastningsfaktor!$B$9:$F$108,3,FALSE),""),1)</f>
        <v>0.74107223789531484</v>
      </c>
      <c r="E105" s="115">
        <f t="shared" si="28"/>
        <v>392.45798431706538</v>
      </c>
      <c r="F105" s="85">
        <f t="shared" si="29"/>
        <v>6.6992930305736476</v>
      </c>
      <c r="G105" s="85">
        <f t="shared" si="22"/>
        <v>144.04597256239188</v>
      </c>
      <c r="H105" s="85">
        <f t="shared" si="23"/>
        <v>61.733988241025088</v>
      </c>
      <c r="I105" s="85">
        <f t="shared" si="24"/>
        <v>168.01022116228356</v>
      </c>
      <c r="J105" s="85">
        <f t="shared" si="25"/>
        <v>18.667802351364838</v>
      </c>
      <c r="K105" s="85">
        <f t="shared" si="26"/>
        <v>0</v>
      </c>
      <c r="L105" s="85">
        <f t="shared" si="27"/>
        <v>0</v>
      </c>
      <c r="M105" s="85">
        <f t="shared" si="30"/>
        <v>0</v>
      </c>
      <c r="N105" s="85">
        <f t="shared" si="31"/>
        <v>0</v>
      </c>
      <c r="O105" s="85"/>
      <c r="P105" s="152"/>
    </row>
    <row r="106" spans="2:16" x14ac:dyDescent="0.2">
      <c r="B106" s="99" t="s">
        <v>112</v>
      </c>
      <c r="C106" s="77">
        <f>IFERROR(VLOOKUP(B106,Belastningsfaktor!$B$9:$E$108,2,FALSE),"")</f>
        <v>48270</v>
      </c>
      <c r="D106" s="89">
        <f>IF($C$31="Ja",IFERROR(VLOOKUP(B106,Belastningsfaktor!$B$9:$F$108,3,FALSE),""),1)</f>
        <v>0.58323967750723449</v>
      </c>
      <c r="E106" s="115">
        <f t="shared" si="28"/>
        <v>254.5029322687989</v>
      </c>
      <c r="F106" s="85">
        <f t="shared" si="29"/>
        <v>5.2724866846654006</v>
      </c>
      <c r="G106" s="85">
        <f t="shared" si="22"/>
        <v>93.411585096003819</v>
      </c>
      <c r="H106" s="85">
        <f t="shared" si="23"/>
        <v>40.033536469715919</v>
      </c>
      <c r="I106" s="85">
        <f t="shared" si="24"/>
        <v>108.95202963277123</v>
      </c>
      <c r="J106" s="85">
        <f t="shared" si="25"/>
        <v>12.105781070307915</v>
      </c>
      <c r="K106" s="85">
        <f t="shared" si="26"/>
        <v>0</v>
      </c>
      <c r="L106" s="85">
        <f t="shared" si="27"/>
        <v>0</v>
      </c>
      <c r="M106" s="85">
        <f t="shared" si="30"/>
        <v>0</v>
      </c>
      <c r="N106" s="85">
        <f t="shared" si="31"/>
        <v>0</v>
      </c>
      <c r="O106" s="85"/>
      <c r="P106" s="152"/>
    </row>
    <row r="107" spans="2:16" x14ac:dyDescent="0.2">
      <c r="B107" s="99" t="s">
        <v>113</v>
      </c>
      <c r="C107" s="77">
        <f>IFERROR(VLOOKUP(B107,Belastningsfaktor!$B$9:$E$108,2,FALSE),"")</f>
        <v>46626</v>
      </c>
      <c r="D107" s="89">
        <f>IF($C$31="Ja",IFERROR(VLOOKUP(B107,Belastningsfaktor!$B$9:$F$108,3,FALSE),""),1)</f>
        <v>0.58896306327881809</v>
      </c>
      <c r="E107" s="115">
        <f t="shared" si="28"/>
        <v>248.24736576748111</v>
      </c>
      <c r="F107" s="85">
        <f t="shared" si="29"/>
        <v>5.324226092040516</v>
      </c>
      <c r="G107" s="85">
        <f t="shared" si="22"/>
        <v>91.115570754037847</v>
      </c>
      <c r="H107" s="85">
        <f t="shared" si="23"/>
        <v>39.049530323159082</v>
      </c>
      <c r="I107" s="85">
        <f t="shared" si="24"/>
        <v>106.27403822125576</v>
      </c>
      <c r="J107" s="85">
        <f t="shared" si="25"/>
        <v>11.808226469028419</v>
      </c>
      <c r="K107" s="85">
        <f t="shared" si="26"/>
        <v>0</v>
      </c>
      <c r="L107" s="85">
        <f t="shared" si="27"/>
        <v>0</v>
      </c>
      <c r="M107" s="85">
        <f t="shared" si="30"/>
        <v>0</v>
      </c>
      <c r="N107" s="85">
        <f t="shared" si="31"/>
        <v>0</v>
      </c>
      <c r="O107" s="85"/>
      <c r="P107" s="152"/>
    </row>
    <row r="108" spans="2:16" x14ac:dyDescent="0.2">
      <c r="B108" s="99" t="s">
        <v>114</v>
      </c>
      <c r="C108" s="77">
        <f>IFERROR(VLOOKUP(B108,Belastningsfaktor!$B$9:$E$108,2,FALSE),"")</f>
        <v>90586</v>
      </c>
      <c r="D108" s="89">
        <f>IF($C$31="Ja",IFERROR(VLOOKUP(B108,Belastningsfaktor!$B$9:$F$108,3,FALSE),""),1)</f>
        <v>0.90153164365283533</v>
      </c>
      <c r="E108" s="115">
        <f t="shared" si="28"/>
        <v>738.26195506629927</v>
      </c>
      <c r="F108" s="85">
        <f t="shared" si="29"/>
        <v>8.1498460586216321</v>
      </c>
      <c r="G108" s="85">
        <f t="shared" si="22"/>
        <v>270.96827067588276</v>
      </c>
      <c r="H108" s="85">
        <f t="shared" si="23"/>
        <v>116.12925886109261</v>
      </c>
      <c r="I108" s="85">
        <f t="shared" si="24"/>
        <v>316.04798297639144</v>
      </c>
      <c r="J108" s="85">
        <f t="shared" si="25"/>
        <v>35.116442552932384</v>
      </c>
      <c r="K108" s="85">
        <f t="shared" si="26"/>
        <v>0</v>
      </c>
      <c r="L108" s="85">
        <f t="shared" si="27"/>
        <v>0</v>
      </c>
      <c r="M108" s="85">
        <f t="shared" si="30"/>
        <v>0</v>
      </c>
      <c r="N108" s="85">
        <f t="shared" si="31"/>
        <v>0</v>
      </c>
      <c r="O108" s="85"/>
      <c r="P108" s="152"/>
    </row>
    <row r="109" spans="2:16" x14ac:dyDescent="0.2">
      <c r="B109" s="99" t="s">
        <v>115</v>
      </c>
      <c r="C109" s="77">
        <f>IFERROR(VLOOKUP(B109,Belastningsfaktor!$B$9:$E$108,2,FALSE),"")</f>
        <v>37002</v>
      </c>
      <c r="D109" s="89">
        <f>IF($C$31="Ja",IFERROR(VLOOKUP(B109,Belastningsfaktor!$B$9:$F$108,3,FALSE),""),1)</f>
        <v>0.66727653570035639</v>
      </c>
      <c r="E109" s="115">
        <f t="shared" si="28"/>
        <v>223.20272002082069</v>
      </c>
      <c r="F109" s="85">
        <f t="shared" si="29"/>
        <v>6.0321798827312225</v>
      </c>
      <c r="G109" s="85">
        <f t="shared" si="22"/>
        <v>81.92329922888085</v>
      </c>
      <c r="H109" s="85">
        <f t="shared" si="23"/>
        <v>35.109985383806077</v>
      </c>
      <c r="I109" s="85">
        <f t="shared" si="24"/>
        <v>95.552491867320384</v>
      </c>
      <c r="J109" s="85">
        <f t="shared" si="25"/>
        <v>10.616943540813375</v>
      </c>
      <c r="K109" s="85">
        <f t="shared" si="26"/>
        <v>0</v>
      </c>
      <c r="L109" s="85">
        <f t="shared" si="27"/>
        <v>0</v>
      </c>
      <c r="M109" s="85">
        <f t="shared" si="30"/>
        <v>0</v>
      </c>
      <c r="N109" s="85">
        <f t="shared" si="31"/>
        <v>0</v>
      </c>
      <c r="O109" s="85"/>
      <c r="P109" s="152"/>
    </row>
    <row r="110" spans="2:16" x14ac:dyDescent="0.2">
      <c r="B110" s="99" t="s">
        <v>116</v>
      </c>
      <c r="C110" s="77">
        <f>IFERROR(VLOOKUP(B110,Belastningsfaktor!$B$9:$E$108,2,FALSE),"")</f>
        <v>22742</v>
      </c>
      <c r="D110" s="89">
        <f>IF($C$31="Ja",IFERROR(VLOOKUP(B110,Belastningsfaktor!$B$9:$F$108,3,FALSE),""),1)</f>
        <v>0.66957694273619517</v>
      </c>
      <c r="E110" s="115">
        <f t="shared" si="28"/>
        <v>137.65677023862722</v>
      </c>
      <c r="F110" s="85">
        <f t="shared" si="29"/>
        <v>6.0529755623352042</v>
      </c>
      <c r="G110" s="85">
        <f t="shared" si="22"/>
        <v>50.52490748360232</v>
      </c>
      <c r="H110" s="85">
        <f t="shared" si="23"/>
        <v>21.653531778686709</v>
      </c>
      <c r="I110" s="85">
        <f t="shared" si="24"/>
        <v>58.930497878704358</v>
      </c>
      <c r="J110" s="85">
        <f t="shared" si="25"/>
        <v>6.5478330976338173</v>
      </c>
      <c r="K110" s="85">
        <f t="shared" si="26"/>
        <v>0</v>
      </c>
      <c r="L110" s="85">
        <f t="shared" si="27"/>
        <v>0</v>
      </c>
      <c r="M110" s="85">
        <f t="shared" si="30"/>
        <v>0</v>
      </c>
      <c r="N110" s="85">
        <f t="shared" si="31"/>
        <v>0</v>
      </c>
      <c r="O110" s="85"/>
      <c r="P110" s="152"/>
    </row>
    <row r="111" spans="2:16" x14ac:dyDescent="0.2">
      <c r="B111" s="99" t="s">
        <v>117</v>
      </c>
      <c r="C111" s="77">
        <f>IFERROR(VLOOKUP(B111,Belastningsfaktor!$B$9:$E$108,2,FALSE),"")</f>
        <v>97010</v>
      </c>
      <c r="D111" s="89">
        <f>IF($C$31="Ja",IFERROR(VLOOKUP(B111,Belastningsfaktor!$B$9:$F$108,3,FALSE),""),1)</f>
        <v>0.93210209102891506</v>
      </c>
      <c r="E111" s="115">
        <f t="shared" si="28"/>
        <v>817.42594361046406</v>
      </c>
      <c r="F111" s="85">
        <f t="shared" si="29"/>
        <v>8.426202902901391</v>
      </c>
      <c r="G111" s="85">
        <f t="shared" si="22"/>
        <v>300.02425673667244</v>
      </c>
      <c r="H111" s="85">
        <f t="shared" si="23"/>
        <v>128.58182431571677</v>
      </c>
      <c r="I111" s="85">
        <f t="shared" si="24"/>
        <v>349.93787630226728</v>
      </c>
      <c r="J111" s="85">
        <f t="shared" si="25"/>
        <v>38.881986255807476</v>
      </c>
      <c r="K111" s="85">
        <f t="shared" si="26"/>
        <v>0</v>
      </c>
      <c r="L111" s="85">
        <f t="shared" si="27"/>
        <v>0</v>
      </c>
      <c r="M111" s="85">
        <f t="shared" si="30"/>
        <v>0</v>
      </c>
      <c r="N111" s="85">
        <f t="shared" si="31"/>
        <v>0</v>
      </c>
      <c r="O111" s="85"/>
      <c r="P111" s="152"/>
    </row>
    <row r="112" spans="2:16" x14ac:dyDescent="0.2">
      <c r="B112" s="99" t="s">
        <v>118</v>
      </c>
      <c r="C112" s="77">
        <f>IFERROR(VLOOKUP(B112,Belastningsfaktor!$B$9:$E$108,2,FALSE),"")</f>
        <v>3646</v>
      </c>
      <c r="D112" s="89">
        <f>IF($C$31="Ja",IFERROR(VLOOKUP(B112,Belastningsfaktor!$B$9:$F$108,3,FALSE),""),1)</f>
        <v>0.54491623326499861</v>
      </c>
      <c r="E112" s="115">
        <f t="shared" si="28"/>
        <v>17.960351861817035</v>
      </c>
      <c r="F112" s="85">
        <f t="shared" si="29"/>
        <v>4.926042748715588</v>
      </c>
      <c r="G112" s="85">
        <f t="shared" si="22"/>
        <v>6.5920848979545248</v>
      </c>
      <c r="H112" s="85">
        <f t="shared" si="23"/>
        <v>2.8251792419805106</v>
      </c>
      <c r="I112" s="85">
        <f t="shared" si="24"/>
        <v>7.6887789496937984</v>
      </c>
      <c r="J112" s="85">
        <f t="shared" si="25"/>
        <v>0.85430877218819978</v>
      </c>
      <c r="K112" s="85">
        <f t="shared" si="26"/>
        <v>0</v>
      </c>
      <c r="L112" s="85">
        <f t="shared" si="27"/>
        <v>0</v>
      </c>
      <c r="M112" s="85">
        <f t="shared" si="30"/>
        <v>0</v>
      </c>
      <c r="N112" s="85">
        <f t="shared" si="31"/>
        <v>0</v>
      </c>
      <c r="O112" s="85"/>
      <c r="P112" s="152"/>
    </row>
    <row r="113" spans="2:16" x14ac:dyDescent="0.2">
      <c r="B113" s="99" t="s">
        <v>119</v>
      </c>
      <c r="C113" s="77">
        <f>IFERROR(VLOOKUP(B113,Belastningsfaktor!$B$9:$E$108,2,FALSE),"")</f>
        <v>93673</v>
      </c>
      <c r="D113" s="89">
        <f>IF($C$31="Ja",IFERROR(VLOOKUP(B113,Belastningsfaktor!$B$9:$F$108,3,FALSE),""),1)</f>
        <v>0.75409768852822867</v>
      </c>
      <c r="E113" s="115">
        <f t="shared" si="28"/>
        <v>638.5728787086432</v>
      </c>
      <c r="F113" s="85">
        <f t="shared" si="29"/>
        <v>6.8170431042951884</v>
      </c>
      <c r="G113" s="85">
        <f t="shared" si="22"/>
        <v>234.3788508357608</v>
      </c>
      <c r="H113" s="85">
        <f t="shared" si="23"/>
        <v>100.44807892961178</v>
      </c>
      <c r="I113" s="85">
        <f t="shared" si="24"/>
        <v>273.37135404894354</v>
      </c>
      <c r="J113" s="85">
        <f t="shared" si="25"/>
        <v>30.374594894327061</v>
      </c>
      <c r="K113" s="85">
        <f t="shared" si="26"/>
        <v>0</v>
      </c>
      <c r="L113" s="85">
        <f t="shared" si="27"/>
        <v>0</v>
      </c>
      <c r="M113" s="85">
        <f t="shared" si="30"/>
        <v>0</v>
      </c>
      <c r="N113" s="85">
        <f t="shared" si="31"/>
        <v>0</v>
      </c>
      <c r="O113" s="85"/>
      <c r="P113" s="152"/>
    </row>
    <row r="114" spans="2:16" x14ac:dyDescent="0.2">
      <c r="B114" s="99" t="s">
        <v>120</v>
      </c>
      <c r="C114" s="77">
        <f>IFERROR(VLOOKUP(B114,Belastningsfaktor!$B$9:$E$108,2,FALSE),"")</f>
        <v>62439</v>
      </c>
      <c r="D114" s="89">
        <f>IF($C$31="Ja",IFERROR(VLOOKUP(B114,Belastningsfaktor!$B$9:$F$108,3,FALSE),""),1)</f>
        <v>0.67198083978494938</v>
      </c>
      <c r="E114" s="115">
        <f t="shared" si="28"/>
        <v>379.29861736420537</v>
      </c>
      <c r="F114" s="85">
        <f t="shared" si="29"/>
        <v>6.0747067916559425</v>
      </c>
      <c r="G114" s="85">
        <f t="shared" si="22"/>
        <v>139.21601907239304</v>
      </c>
      <c r="H114" s="85">
        <f t="shared" si="23"/>
        <v>59.664008173882728</v>
      </c>
      <c r="I114" s="85">
        <f t="shared" si="24"/>
        <v>162.37673110613662</v>
      </c>
      <c r="J114" s="85">
        <f t="shared" si="25"/>
        <v>18.041859011792958</v>
      </c>
      <c r="K114" s="85">
        <f t="shared" si="26"/>
        <v>0</v>
      </c>
      <c r="L114" s="85">
        <f t="shared" si="27"/>
        <v>0</v>
      </c>
      <c r="M114" s="85">
        <f t="shared" si="30"/>
        <v>0</v>
      </c>
      <c r="N114" s="85">
        <f t="shared" si="31"/>
        <v>0</v>
      </c>
      <c r="O114" s="85"/>
      <c r="P114" s="152"/>
    </row>
    <row r="115" spans="2:16" x14ac:dyDescent="0.2">
      <c r="B115" s="99" t="s">
        <v>121</v>
      </c>
      <c r="C115" s="77">
        <f>IFERROR(VLOOKUP(B115,Belastningsfaktor!$B$9:$E$108,2,FALSE),"")</f>
        <v>42835</v>
      </c>
      <c r="D115" s="89">
        <f>IF($C$31="Ja",IFERROR(VLOOKUP(B115,Belastningsfaktor!$B$9:$F$108,3,FALSE),""),1)</f>
        <v>0.54375207018075888</v>
      </c>
      <c r="E115" s="115">
        <f t="shared" si="28"/>
        <v>210.55624413278298</v>
      </c>
      <c r="F115" s="85">
        <f t="shared" si="29"/>
        <v>4.91551871443406</v>
      </c>
      <c r="G115" s="85">
        <f t="shared" si="22"/>
        <v>77.281594915107718</v>
      </c>
      <c r="H115" s="85">
        <f t="shared" si="23"/>
        <v>33.120683535046162</v>
      </c>
      <c r="I115" s="85">
        <f t="shared" si="24"/>
        <v>90.138569114366192</v>
      </c>
      <c r="J115" s="85">
        <f t="shared" si="25"/>
        <v>10.01539656826291</v>
      </c>
      <c r="K115" s="85">
        <f t="shared" si="26"/>
        <v>0</v>
      </c>
      <c r="L115" s="85">
        <f t="shared" si="27"/>
        <v>0</v>
      </c>
      <c r="M115" s="85">
        <f t="shared" si="30"/>
        <v>0</v>
      </c>
      <c r="N115" s="85">
        <f t="shared" si="31"/>
        <v>0</v>
      </c>
      <c r="O115" s="85"/>
      <c r="P115" s="152"/>
    </row>
    <row r="116" spans="2:16" x14ac:dyDescent="0.2">
      <c r="B116" s="99" t="s">
        <v>122</v>
      </c>
      <c r="C116" s="77">
        <f>IFERROR(VLOOKUP(B116,Belastningsfaktor!$B$9:$E$108,2,FALSE),"")</f>
        <v>347726</v>
      </c>
      <c r="D116" s="89">
        <f>IF($C$31="Ja",IFERROR(VLOOKUP(B116,Belastningsfaktor!$B$9:$F$108,3,FALSE),""),1)</f>
        <v>1.2514417101879141</v>
      </c>
      <c r="E116" s="115">
        <f t="shared" si="28"/>
        <v>3933.8357338558958</v>
      </c>
      <c r="F116" s="85">
        <f t="shared" si="29"/>
        <v>11.313033060098745</v>
      </c>
      <c r="G116" s="85">
        <f t="shared" si="22"/>
        <v>1443.8569651475505</v>
      </c>
      <c r="H116" s="85">
        <f t="shared" si="23"/>
        <v>618.79584220609308</v>
      </c>
      <c r="I116" s="85">
        <f t="shared" si="24"/>
        <v>1684.0646338520264</v>
      </c>
      <c r="J116" s="85">
        <f t="shared" si="25"/>
        <v>187.11829265022516</v>
      </c>
      <c r="K116" s="85">
        <f t="shared" si="26"/>
        <v>0</v>
      </c>
      <c r="L116" s="85">
        <f t="shared" si="27"/>
        <v>0</v>
      </c>
      <c r="M116" s="85">
        <f t="shared" si="30"/>
        <v>0</v>
      </c>
      <c r="N116" s="85">
        <f t="shared" si="31"/>
        <v>0</v>
      </c>
      <c r="O116" s="85"/>
      <c r="P116" s="152"/>
    </row>
    <row r="117" spans="2:16" x14ac:dyDescent="0.2">
      <c r="B117" s="99" t="s">
        <v>123</v>
      </c>
      <c r="C117" s="77">
        <f>IFERROR(VLOOKUP(B117,Belastningsfaktor!$B$9:$E$108,2,FALSE),"")</f>
        <v>88834</v>
      </c>
      <c r="D117" s="89">
        <f>IF($C$31="Ja",IFERROR(VLOOKUP(B117,Belastningsfaktor!$B$9:$F$108,3,FALSE),""),1)</f>
        <v>0.86142525580592633</v>
      </c>
      <c r="E117" s="115">
        <f t="shared" si="28"/>
        <v>691.77561461534344</v>
      </c>
      <c r="F117" s="85">
        <f t="shared" si="29"/>
        <v>7.7872843124855731</v>
      </c>
      <c r="G117" s="85">
        <f t="shared" si="22"/>
        <v>253.90613819620674</v>
      </c>
      <c r="H117" s="85">
        <f t="shared" si="23"/>
        <v>108.81691636980288</v>
      </c>
      <c r="I117" s="85">
        <f t="shared" si="24"/>
        <v>296.14730404440036</v>
      </c>
      <c r="J117" s="85">
        <f t="shared" si="25"/>
        <v>32.905256004933378</v>
      </c>
      <c r="K117" s="85">
        <f t="shared" si="26"/>
        <v>0</v>
      </c>
      <c r="L117" s="85">
        <f t="shared" si="27"/>
        <v>0</v>
      </c>
      <c r="M117" s="85">
        <f t="shared" si="30"/>
        <v>0</v>
      </c>
      <c r="N117" s="85">
        <f t="shared" si="31"/>
        <v>0</v>
      </c>
      <c r="O117" s="85"/>
      <c r="P117" s="152"/>
    </row>
    <row r="118" spans="2:16" x14ac:dyDescent="0.2">
      <c r="B118" s="99" t="s">
        <v>124</v>
      </c>
      <c r="C118" s="77">
        <f>IFERROR(VLOOKUP(B118,Belastningsfaktor!$B$9:$E$108,2,FALSE),"")</f>
        <v>58464</v>
      </c>
      <c r="D118" s="89">
        <f>IF($C$31="Ja",IFERROR(VLOOKUP(B118,Belastningsfaktor!$B$9:$F$108,3,FALSE),""),1)</f>
        <v>0.80516488073134396</v>
      </c>
      <c r="E118" s="115">
        <f t="shared" si="28"/>
        <v>425.5413626671787</v>
      </c>
      <c r="F118" s="85">
        <f t="shared" si="29"/>
        <v>7.2786905218113489</v>
      </c>
      <c r="G118" s="85">
        <f t="shared" si="22"/>
        <v>156.1887435099224</v>
      </c>
      <c r="H118" s="85">
        <f t="shared" si="23"/>
        <v>66.938032932823887</v>
      </c>
      <c r="I118" s="85">
        <f t="shared" si="24"/>
        <v>182.17312760198914</v>
      </c>
      <c r="J118" s="85">
        <f t="shared" si="25"/>
        <v>20.24145862244324</v>
      </c>
      <c r="K118" s="85">
        <f t="shared" si="26"/>
        <v>0</v>
      </c>
      <c r="L118" s="85">
        <f t="shared" si="27"/>
        <v>0</v>
      </c>
      <c r="M118" s="85">
        <f t="shared" si="30"/>
        <v>0</v>
      </c>
      <c r="N118" s="85">
        <f t="shared" si="31"/>
        <v>0</v>
      </c>
      <c r="O118" s="85"/>
      <c r="P118" s="152"/>
    </row>
    <row r="119" spans="2:16" x14ac:dyDescent="0.2">
      <c r="B119" s="99" t="s">
        <v>125</v>
      </c>
      <c r="C119" s="77">
        <f>IFERROR(VLOOKUP(B119,Belastningsfaktor!$B$9:$E$108,2,FALSE),"")</f>
        <v>41227</v>
      </c>
      <c r="D119" s="89">
        <f>IF($C$31="Ja",IFERROR(VLOOKUP(B119,Belastningsfaktor!$B$9:$F$108,3,FALSE),""),1)</f>
        <v>0.7477061999552489</v>
      </c>
      <c r="E119" s="115">
        <f t="shared" si="28"/>
        <v>278.66417889021761</v>
      </c>
      <c r="F119" s="85">
        <f t="shared" si="29"/>
        <v>6.7592640475954502</v>
      </c>
      <c r="G119" s="85">
        <f t="shared" si="22"/>
        <v>102.27961787143161</v>
      </c>
      <c r="H119" s="85">
        <f t="shared" si="23"/>
        <v>43.834121944899259</v>
      </c>
      <c r="I119" s="85">
        <f t="shared" si="24"/>
        <v>119.29539516649804</v>
      </c>
      <c r="J119" s="85">
        <f t="shared" si="25"/>
        <v>13.255043907388671</v>
      </c>
      <c r="K119" s="85">
        <f t="shared" si="26"/>
        <v>0</v>
      </c>
      <c r="L119" s="85">
        <f t="shared" si="27"/>
        <v>0</v>
      </c>
      <c r="M119" s="85">
        <f t="shared" si="30"/>
        <v>0</v>
      </c>
      <c r="N119" s="85">
        <f t="shared" si="31"/>
        <v>0</v>
      </c>
      <c r="O119" s="85"/>
      <c r="P119" s="152"/>
    </row>
    <row r="120" spans="2:16" x14ac:dyDescent="0.2">
      <c r="B120" s="99" t="s">
        <v>126</v>
      </c>
      <c r="C120" s="77">
        <f>IFERROR(VLOOKUP(B120,Belastningsfaktor!$B$9:$E$108,2,FALSE),"")</f>
        <v>19686</v>
      </c>
      <c r="D120" s="89">
        <f>IF($C$31="Ja",IFERROR(VLOOKUP(B120,Belastningsfaktor!$B$9:$F$108,3,FALSE),""),1)</f>
        <v>0.6411145872409052</v>
      </c>
      <c r="E120" s="115">
        <f t="shared" si="28"/>
        <v>114.09367515039713</v>
      </c>
      <c r="F120" s="85">
        <f t="shared" si="29"/>
        <v>5.7956758686577841</v>
      </c>
      <c r="G120" s="85">
        <f t="shared" si="22"/>
        <v>41.876417494360354</v>
      </c>
      <c r="H120" s="85">
        <f t="shared" si="23"/>
        <v>17.947036069011581</v>
      </c>
      <c r="I120" s="85">
        <f t="shared" si="24"/>
        <v>48.84319942832267</v>
      </c>
      <c r="J120" s="85">
        <f t="shared" si="25"/>
        <v>5.4270221587025196</v>
      </c>
      <c r="K120" s="85">
        <f t="shared" si="26"/>
        <v>0</v>
      </c>
      <c r="L120" s="85">
        <f t="shared" si="27"/>
        <v>0</v>
      </c>
      <c r="M120" s="85">
        <f t="shared" si="30"/>
        <v>0</v>
      </c>
      <c r="N120" s="85">
        <f t="shared" si="31"/>
        <v>0</v>
      </c>
      <c r="O120" s="85"/>
      <c r="P120" s="152"/>
    </row>
    <row r="121" spans="2:16" x14ac:dyDescent="0.2">
      <c r="B121" s="99" t="s">
        <v>127</v>
      </c>
      <c r="C121" s="77">
        <f>IFERROR(VLOOKUP(B121,Belastningsfaktor!$B$9:$E$108,2,FALSE),"")</f>
        <v>56423</v>
      </c>
      <c r="D121" s="89">
        <f>IF($C$31="Ja",IFERROR(VLOOKUP(B121,Belastningsfaktor!$B$9:$F$108,3,FALSE),""),1)</f>
        <v>0.6464727068589734</v>
      </c>
      <c r="E121" s="115">
        <f t="shared" si="28"/>
        <v>329.74240303349887</v>
      </c>
      <c r="F121" s="85">
        <f t="shared" si="29"/>
        <v>5.8441132700051197</v>
      </c>
      <c r="G121" s="85">
        <f t="shared" si="22"/>
        <v>121.02713421074655</v>
      </c>
      <c r="H121" s="85">
        <f t="shared" si="23"/>
        <v>51.868771804605672</v>
      </c>
      <c r="I121" s="85">
        <f t="shared" si="24"/>
        <v>141.16184731633194</v>
      </c>
      <c r="J121" s="85">
        <f t="shared" si="25"/>
        <v>15.684649701814662</v>
      </c>
      <c r="K121" s="85">
        <f t="shared" si="26"/>
        <v>0</v>
      </c>
      <c r="L121" s="85">
        <f t="shared" si="27"/>
        <v>0</v>
      </c>
      <c r="M121" s="85">
        <f t="shared" si="30"/>
        <v>0</v>
      </c>
      <c r="N121" s="85">
        <f t="shared" si="31"/>
        <v>0</v>
      </c>
      <c r="O121" s="85"/>
      <c r="P121" s="152"/>
    </row>
    <row r="122" spans="2:16" x14ac:dyDescent="0.2">
      <c r="B122" s="99" t="s">
        <v>128</v>
      </c>
      <c r="C122" s="77">
        <f>IFERROR(VLOOKUP(B122,Belastningsfaktor!$B$9:$E$108,2,FALSE),"")</f>
        <v>45729</v>
      </c>
      <c r="D122" s="89">
        <f>IF($C$31="Ja",IFERROR(VLOOKUP(B122,Belastningsfaktor!$B$9:$F$108,3,FALSE),""),1)</f>
        <v>0.75093257926345336</v>
      </c>
      <c r="E122" s="115">
        <f t="shared" si="28"/>
        <v>310.42813909093172</v>
      </c>
      <c r="F122" s="85">
        <f t="shared" si="29"/>
        <v>6.7884305165416192</v>
      </c>
      <c r="G122" s="85">
        <f t="shared" si="22"/>
        <v>113.9381156530654</v>
      </c>
      <c r="H122" s="85">
        <f t="shared" si="23"/>
        <v>48.830620994170886</v>
      </c>
      <c r="I122" s="85">
        <f t="shared" si="24"/>
        <v>132.89346219932588</v>
      </c>
      <c r="J122" s="85">
        <f t="shared" si="25"/>
        <v>14.765940244369544</v>
      </c>
      <c r="K122" s="85">
        <f t="shared" si="26"/>
        <v>0</v>
      </c>
      <c r="L122" s="85">
        <f t="shared" si="27"/>
        <v>0</v>
      </c>
      <c r="M122" s="85">
        <f t="shared" si="30"/>
        <v>0</v>
      </c>
      <c r="N122" s="85">
        <f t="shared" si="31"/>
        <v>0</v>
      </c>
      <c r="O122" s="85"/>
      <c r="P122" s="152"/>
    </row>
    <row r="123" spans="2:16" x14ac:dyDescent="0.2">
      <c r="B123" s="99" t="s">
        <v>129</v>
      </c>
      <c r="C123" s="77">
        <f>IFERROR(VLOOKUP(B123,Belastningsfaktor!$B$9:$E$108,2,FALSE),"")</f>
        <v>20938</v>
      </c>
      <c r="D123" s="89">
        <f>IF($C$31="Ja",IFERROR(VLOOKUP(B123,Belastningsfaktor!$B$9:$F$108,3,FALSE),""),1)</f>
        <v>0.71030622377827435</v>
      </c>
      <c r="E123" s="115">
        <f t="shared" si="28"/>
        <v>134.44642108976439</v>
      </c>
      <c r="F123" s="85">
        <f t="shared" si="29"/>
        <v>6.4211682629556011</v>
      </c>
      <c r="G123" s="85">
        <f t="shared" si="22"/>
        <v>49.346595705291826</v>
      </c>
      <c r="H123" s="85">
        <f t="shared" si="23"/>
        <v>21.14854101655364</v>
      </c>
      <c r="I123" s="85">
        <f t="shared" si="24"/>
        <v>57.556155931127023</v>
      </c>
      <c r="J123" s="85">
        <f t="shared" si="25"/>
        <v>6.3951284367918912</v>
      </c>
      <c r="K123" s="85">
        <f t="shared" si="26"/>
        <v>0</v>
      </c>
      <c r="L123" s="85">
        <f t="shared" si="27"/>
        <v>0</v>
      </c>
      <c r="M123" s="85">
        <f t="shared" si="30"/>
        <v>0</v>
      </c>
      <c r="N123" s="85">
        <f t="shared" si="31"/>
        <v>0</v>
      </c>
      <c r="O123" s="85"/>
      <c r="P123" s="152"/>
    </row>
    <row r="124" spans="2:16" x14ac:dyDescent="0.2">
      <c r="B124" s="99" t="s">
        <v>130</v>
      </c>
      <c r="C124" s="77">
        <f>IFERROR(VLOOKUP(B124,Belastningsfaktor!$B$9:$E$108,2,FALSE),"")</f>
        <v>96644</v>
      </c>
      <c r="D124" s="89">
        <f>IF($C$31="Ja",IFERROR(VLOOKUP(B124,Belastningsfaktor!$B$9:$F$108,3,FALSE),""),1)</f>
        <v>0.78008891771978517</v>
      </c>
      <c r="E124" s="115">
        <f t="shared" si="28"/>
        <v>681.5338568115626</v>
      </c>
      <c r="F124" s="85">
        <f t="shared" si="29"/>
        <v>7.0520038161868568</v>
      </c>
      <c r="G124" s="85">
        <f t="shared" si="22"/>
        <v>250.14705054211993</v>
      </c>
      <c r="H124" s="85">
        <f t="shared" si="23"/>
        <v>107.20587880376569</v>
      </c>
      <c r="I124" s="85">
        <f t="shared" si="24"/>
        <v>291.76283471910926</v>
      </c>
      <c r="J124" s="85">
        <f t="shared" si="25"/>
        <v>32.418092746567702</v>
      </c>
      <c r="K124" s="85">
        <f t="shared" si="26"/>
        <v>0</v>
      </c>
      <c r="L124" s="85">
        <f t="shared" si="27"/>
        <v>0</v>
      </c>
      <c r="M124" s="85">
        <f t="shared" si="30"/>
        <v>0</v>
      </c>
      <c r="N124" s="85">
        <f t="shared" si="31"/>
        <v>0</v>
      </c>
      <c r="O124" s="85"/>
      <c r="P124" s="152"/>
    </row>
    <row r="125" spans="2:16" x14ac:dyDescent="0.2">
      <c r="B125" s="99" t="s">
        <v>131</v>
      </c>
      <c r="C125" s="77">
        <f>IFERROR(VLOOKUP(B125,Belastningsfaktor!$B$9:$E$108,2,FALSE),"")</f>
        <v>36108</v>
      </c>
      <c r="D125" s="89">
        <f>IF($C$31="Ja",IFERROR(VLOOKUP(B125,Belastningsfaktor!$B$9:$F$108,3,FALSE),""),1)</f>
        <v>0.60830232322716438</v>
      </c>
      <c r="E125" s="115">
        <f t="shared" si="28"/>
        <v>198.5598057952615</v>
      </c>
      <c r="F125" s="85">
        <f t="shared" si="29"/>
        <v>5.4990530019735653</v>
      </c>
      <c r="G125" s="85">
        <f t="shared" si="22"/>
        <v>72.87847739255281</v>
      </c>
      <c r="H125" s="85">
        <f t="shared" si="23"/>
        <v>31.233633168236921</v>
      </c>
      <c r="I125" s="85">
        <f t="shared" si="24"/>
        <v>85.00292571102456</v>
      </c>
      <c r="J125" s="85">
        <f t="shared" si="25"/>
        <v>9.4447695234471745</v>
      </c>
      <c r="K125" s="85">
        <f t="shared" si="26"/>
        <v>0</v>
      </c>
      <c r="L125" s="85">
        <f t="shared" si="27"/>
        <v>0</v>
      </c>
      <c r="M125" s="85">
        <f t="shared" si="30"/>
        <v>0</v>
      </c>
      <c r="N125" s="85">
        <f t="shared" si="31"/>
        <v>0</v>
      </c>
      <c r="O125" s="85"/>
      <c r="P125" s="152"/>
    </row>
    <row r="126" spans="2:16" x14ac:dyDescent="0.2">
      <c r="B126" s="99" t="s">
        <v>132</v>
      </c>
      <c r="C126" s="77">
        <f>IFERROR(VLOOKUP(B126,Belastningsfaktor!$B$9:$E$108,2,FALSE),"")</f>
        <v>59568</v>
      </c>
      <c r="D126" s="89">
        <f>IF($C$31="Ja",IFERROR(VLOOKUP(B126,Belastningsfaktor!$B$9:$F$108,3,FALSE),""),1)</f>
        <v>0.74550272351556646</v>
      </c>
      <c r="E126" s="115">
        <f t="shared" si="28"/>
        <v>401.44928035875245</v>
      </c>
      <c r="F126" s="85">
        <f t="shared" si="29"/>
        <v>6.7393446205807219</v>
      </c>
      <c r="G126" s="85">
        <f t="shared" si="22"/>
        <v>147.34609648565711</v>
      </c>
      <c r="H126" s="85">
        <f t="shared" si="23"/>
        <v>63.14832706528162</v>
      </c>
      <c r="I126" s="85">
        <f t="shared" si="24"/>
        <v>171.85937112703232</v>
      </c>
      <c r="J126" s="85">
        <f t="shared" si="25"/>
        <v>19.095485680781369</v>
      </c>
      <c r="K126" s="85">
        <f t="shared" si="26"/>
        <v>0</v>
      </c>
      <c r="L126" s="85">
        <f t="shared" si="27"/>
        <v>0</v>
      </c>
      <c r="M126" s="85">
        <f t="shared" si="30"/>
        <v>0</v>
      </c>
      <c r="N126" s="85">
        <f t="shared" si="31"/>
        <v>0</v>
      </c>
      <c r="O126" s="85"/>
      <c r="P126" s="152"/>
    </row>
    <row r="127" spans="2:16" x14ac:dyDescent="0.2">
      <c r="B127" s="99" t="s">
        <v>133</v>
      </c>
      <c r="C127" s="77">
        <f>IFERROR(VLOOKUP(B127,Belastningsfaktor!$B$9:$E$108,2,FALSE),"")</f>
        <v>64204</v>
      </c>
      <c r="D127" s="89">
        <f>IF($C$31="Ja",IFERROR(VLOOKUP(B127,Belastningsfaktor!$B$9:$F$108,3,FALSE),""),1)</f>
        <v>0.71679108285029125</v>
      </c>
      <c r="E127" s="115">
        <f t="shared" si="28"/>
        <v>416.02852633721375</v>
      </c>
      <c r="F127" s="85">
        <f t="shared" si="29"/>
        <v>6.4797913889666336</v>
      </c>
      <c r="G127" s="85">
        <f t="shared" si="22"/>
        <v>152.69719583925604</v>
      </c>
      <c r="H127" s="85">
        <f t="shared" si="23"/>
        <v>65.441655359681164</v>
      </c>
      <c r="I127" s="85">
        <f t="shared" si="24"/>
        <v>178.10070762444883</v>
      </c>
      <c r="J127" s="85">
        <f t="shared" si="25"/>
        <v>19.78896751382765</v>
      </c>
      <c r="K127" s="85">
        <f t="shared" si="26"/>
        <v>0</v>
      </c>
      <c r="L127" s="85">
        <f t="shared" si="27"/>
        <v>0</v>
      </c>
      <c r="M127" s="85">
        <f t="shared" si="30"/>
        <v>0</v>
      </c>
      <c r="N127" s="85">
        <f t="shared" si="31"/>
        <v>0</v>
      </c>
      <c r="O127" s="85"/>
      <c r="P127" s="152"/>
    </row>
    <row r="128" spans="2:16" x14ac:dyDescent="0.2">
      <c r="B128" s="99" t="s">
        <v>134</v>
      </c>
      <c r="C128" s="77">
        <f>IFERROR(VLOOKUP(B128,Belastningsfaktor!$B$9:$E$108,2,FALSE),"")</f>
        <v>38170</v>
      </c>
      <c r="D128" s="89">
        <f>IF($C$31="Ja",IFERROR(VLOOKUP(B128,Belastningsfaktor!$B$9:$F$108,3,FALSE),""),1)</f>
        <v>0.52300996624232798</v>
      </c>
      <c r="E128" s="115">
        <f t="shared" si="28"/>
        <v>180.46814531968576</v>
      </c>
      <c r="F128" s="85">
        <f t="shared" si="29"/>
        <v>4.7280100948306467</v>
      </c>
      <c r="G128" s="85">
        <f t="shared" si="22"/>
        <v>66.23819758525633</v>
      </c>
      <c r="H128" s="85">
        <f t="shared" si="23"/>
        <v>28.387798965109855</v>
      </c>
      <c r="I128" s="85">
        <f t="shared" si="24"/>
        <v>77.257933892387612</v>
      </c>
      <c r="J128" s="85">
        <f t="shared" si="25"/>
        <v>8.5842148769319575</v>
      </c>
      <c r="K128" s="85">
        <f t="shared" si="26"/>
        <v>0</v>
      </c>
      <c r="L128" s="85">
        <f t="shared" si="27"/>
        <v>0</v>
      </c>
      <c r="M128" s="85">
        <f t="shared" si="30"/>
        <v>0</v>
      </c>
      <c r="N128" s="85">
        <f t="shared" si="31"/>
        <v>0</v>
      </c>
      <c r="O128" s="85"/>
      <c r="P128" s="152"/>
    </row>
    <row r="129" spans="2:16" x14ac:dyDescent="0.2">
      <c r="B129" s="99" t="s">
        <v>135</v>
      </c>
      <c r="C129" s="77">
        <f>IFERROR(VLOOKUP(B129,Belastningsfaktor!$B$9:$E$108,2,FALSE),"")</f>
        <v>1773</v>
      </c>
      <c r="D129" s="89">
        <f>IF($C$31="Ja",IFERROR(VLOOKUP(B129,Belastningsfaktor!$B$9:$F$108,3,FALSE),""),1)</f>
        <v>0.51097140209213388</v>
      </c>
      <c r="E129" s="115">
        <f t="shared" si="28"/>
        <v>8.1898087550205538</v>
      </c>
      <c r="F129" s="85">
        <f t="shared" si="29"/>
        <v>4.6191814749128906</v>
      </c>
      <c r="G129" s="85">
        <f t="shared" si="22"/>
        <v>3.005949717827233</v>
      </c>
      <c r="H129" s="85">
        <f t="shared" si="23"/>
        <v>1.2882641647830999</v>
      </c>
      <c r="I129" s="85">
        <f t="shared" si="24"/>
        <v>3.5060353851691977</v>
      </c>
      <c r="J129" s="85">
        <f t="shared" si="25"/>
        <v>0.38955948724102196</v>
      </c>
      <c r="K129" s="85">
        <f t="shared" si="26"/>
        <v>0</v>
      </c>
      <c r="L129" s="85">
        <f t="shared" si="27"/>
        <v>0</v>
      </c>
      <c r="M129" s="85">
        <f t="shared" si="30"/>
        <v>0</v>
      </c>
      <c r="N129" s="85">
        <f t="shared" si="31"/>
        <v>0</v>
      </c>
      <c r="O129" s="85"/>
      <c r="P129" s="152"/>
    </row>
    <row r="130" spans="2:16" x14ac:dyDescent="0.2">
      <c r="B130" s="99" t="s">
        <v>136</v>
      </c>
      <c r="C130" s="77">
        <f>IFERROR(VLOOKUP(B130,Belastningsfaktor!$B$9:$E$108,2,FALSE),"")</f>
        <v>41728</v>
      </c>
      <c r="D130" s="89">
        <f>IF($C$31="Ja",IFERROR(VLOOKUP(B130,Belastningsfaktor!$B$9:$F$108,3,FALSE),""),1)</f>
        <v>0.71974074969896207</v>
      </c>
      <c r="E130" s="115">
        <f t="shared" si="28"/>
        <v>271.50141171108214</v>
      </c>
      <c r="F130" s="85">
        <f t="shared" si="29"/>
        <v>6.5064563772786173</v>
      </c>
      <c r="G130" s="85">
        <f t="shared" si="22"/>
        <v>99.650628767408207</v>
      </c>
      <c r="H130" s="85">
        <f t="shared" si="23"/>
        <v>42.707412328889234</v>
      </c>
      <c r="I130" s="85">
        <f t="shared" si="24"/>
        <v>116.22903355330619</v>
      </c>
      <c r="J130" s="85">
        <f t="shared" si="25"/>
        <v>12.914337061478466</v>
      </c>
      <c r="K130" s="85">
        <f t="shared" si="26"/>
        <v>0</v>
      </c>
      <c r="L130" s="85">
        <f t="shared" si="27"/>
        <v>0</v>
      </c>
      <c r="M130" s="85">
        <f t="shared" si="30"/>
        <v>0</v>
      </c>
      <c r="N130" s="85">
        <f t="shared" si="31"/>
        <v>0</v>
      </c>
      <c r="O130" s="85"/>
      <c r="P130" s="152"/>
    </row>
    <row r="131" spans="2:16" x14ac:dyDescent="0.2">
      <c r="B131" s="99" t="s">
        <v>137</v>
      </c>
      <c r="C131" s="77">
        <f>IFERROR(VLOOKUP(B131,Belastningsfaktor!$B$9:$E$108,2,FALSE),"")</f>
        <v>20189</v>
      </c>
      <c r="D131" s="89">
        <f>IF($C$31="Ja",IFERROR(VLOOKUP(B131,Belastningsfaktor!$B$9:$F$108,3,FALSE),""),1)</f>
        <v>0.64921821256923984</v>
      </c>
      <c r="E131" s="115">
        <f t="shared" si="28"/>
        <v>118.48788110178587</v>
      </c>
      <c r="F131" s="85">
        <f t="shared" si="29"/>
        <v>5.8689326416259293</v>
      </c>
      <c r="G131" s="85">
        <f t="shared" si="22"/>
        <v>43.489246625633342</v>
      </c>
      <c r="H131" s="85">
        <f t="shared" si="23"/>
        <v>18.63824855384286</v>
      </c>
      <c r="I131" s="85">
        <f t="shared" si="24"/>
        <v>50.724347330078693</v>
      </c>
      <c r="J131" s="85">
        <f t="shared" si="25"/>
        <v>5.6360385922309666</v>
      </c>
      <c r="K131" s="85">
        <f t="shared" si="26"/>
        <v>0</v>
      </c>
      <c r="L131" s="85">
        <f t="shared" si="27"/>
        <v>0</v>
      </c>
      <c r="M131" s="85">
        <f t="shared" si="30"/>
        <v>0</v>
      </c>
      <c r="N131" s="85">
        <f t="shared" si="31"/>
        <v>0</v>
      </c>
      <c r="O131" s="85"/>
      <c r="P131" s="152"/>
    </row>
    <row r="132" spans="2:16" x14ac:dyDescent="0.2">
      <c r="B132" s="99" t="s">
        <v>138</v>
      </c>
      <c r="C132" s="77">
        <f>IFERROR(VLOOKUP(B132,Belastningsfaktor!$B$9:$E$108,2,FALSE),"")</f>
        <v>30014</v>
      </c>
      <c r="D132" s="89">
        <f>IF($C$31="Ja",IFERROR(VLOOKUP(B132,Belastningsfaktor!$B$9:$F$108,3,FALSE),""),1)</f>
        <v>0.54599178805119375</v>
      </c>
      <c r="E132" s="115">
        <f t="shared" si="28"/>
        <v>148.14207364017952</v>
      </c>
      <c r="F132" s="85">
        <f t="shared" si="29"/>
        <v>4.9357657639827917</v>
      </c>
      <c r="G132" s="85">
        <f t="shared" si="22"/>
        <v>54.373384993154367</v>
      </c>
      <c r="H132" s="85">
        <f t="shared" si="23"/>
        <v>23.302879282780442</v>
      </c>
      <c r="I132" s="85">
        <f t="shared" si="24"/>
        <v>63.419228427820222</v>
      </c>
      <c r="J132" s="85">
        <f t="shared" si="25"/>
        <v>7.0465809364244691</v>
      </c>
      <c r="K132" s="85">
        <f t="shared" si="26"/>
        <v>0</v>
      </c>
      <c r="L132" s="85">
        <f t="shared" si="27"/>
        <v>0</v>
      </c>
      <c r="M132" s="85">
        <f t="shared" si="30"/>
        <v>0</v>
      </c>
      <c r="N132" s="85">
        <f t="shared" si="31"/>
        <v>0</v>
      </c>
      <c r="O132" s="85"/>
      <c r="P132" s="152"/>
    </row>
    <row r="133" spans="2:16" x14ac:dyDescent="0.2">
      <c r="B133" s="99" t="s">
        <v>139</v>
      </c>
      <c r="C133" s="77">
        <f>IFERROR(VLOOKUP(B133,Belastningsfaktor!$B$9:$E$108,2,FALSE),"")</f>
        <v>43324</v>
      </c>
      <c r="D133" s="89">
        <f>IF($C$31="Ja",IFERROR(VLOOKUP(B133,Belastningsfaktor!$B$9:$F$108,3,FALSE),""),1)</f>
        <v>0.67997615494187391</v>
      </c>
      <c r="E133" s="115">
        <f t="shared" si="28"/>
        <v>266.31195390778379</v>
      </c>
      <c r="F133" s="85">
        <f t="shared" si="29"/>
        <v>6.1469844406745402</v>
      </c>
      <c r="G133" s="85">
        <f t="shared" si="22"/>
        <v>97.745914055976371</v>
      </c>
      <c r="H133" s="85">
        <f t="shared" si="23"/>
        <v>41.89110602398987</v>
      </c>
      <c r="I133" s="85">
        <f t="shared" si="24"/>
        <v>114.00744044503577</v>
      </c>
      <c r="J133" s="85">
        <f t="shared" si="25"/>
        <v>12.667493382781753</v>
      </c>
      <c r="K133" s="85">
        <f t="shared" si="26"/>
        <v>0</v>
      </c>
      <c r="L133" s="85">
        <f t="shared" si="27"/>
        <v>0</v>
      </c>
      <c r="M133" s="85">
        <f t="shared" si="30"/>
        <v>0</v>
      </c>
      <c r="N133" s="85">
        <f t="shared" si="31"/>
        <v>0</v>
      </c>
      <c r="O133" s="85"/>
      <c r="P133" s="152"/>
    </row>
    <row r="134" spans="2:16" x14ac:dyDescent="0.2">
      <c r="B134" s="99" t="s">
        <v>140</v>
      </c>
      <c r="C134" s="77">
        <f>IFERROR(VLOOKUP(B134,Belastningsfaktor!$B$9:$E$108,2,FALSE),"")</f>
        <v>36581</v>
      </c>
      <c r="D134" s="89">
        <f>IF($C$31="Ja",IFERROR(VLOOKUP(B134,Belastningsfaktor!$B$9:$F$108,3,FALSE),""),1)</f>
        <v>0.65173421942734255</v>
      </c>
      <c r="E134" s="115">
        <f t="shared" si="28"/>
        <v>215.52344890707946</v>
      </c>
      <c r="F134" s="85">
        <f t="shared" si="29"/>
        <v>5.8916773436231775</v>
      </c>
      <c r="G134" s="85">
        <f t="shared" si="22"/>
        <v>79.104734897532012</v>
      </c>
      <c r="H134" s="85">
        <f t="shared" si="23"/>
        <v>33.902029241799433</v>
      </c>
      <c r="I134" s="85">
        <f t="shared" si="24"/>
        <v>92.265016290973193</v>
      </c>
      <c r="J134" s="85">
        <f t="shared" si="25"/>
        <v>10.2516684767748</v>
      </c>
      <c r="K134" s="85">
        <f t="shared" si="26"/>
        <v>0</v>
      </c>
      <c r="L134" s="85">
        <f t="shared" si="27"/>
        <v>0</v>
      </c>
      <c r="M134" s="85">
        <f t="shared" si="30"/>
        <v>0</v>
      </c>
      <c r="N134" s="85">
        <f t="shared" si="31"/>
        <v>0</v>
      </c>
      <c r="O134" s="85"/>
      <c r="P134" s="152"/>
    </row>
    <row r="135" spans="2:16" x14ac:dyDescent="0.2">
      <c r="B135" s="99" t="s">
        <v>141</v>
      </c>
      <c r="C135" s="77">
        <f>IFERROR(VLOOKUP(B135,Belastningsfaktor!$B$9:$E$108,2,FALSE),"")</f>
        <v>215430</v>
      </c>
      <c r="D135" s="89">
        <f>IF($C$31="Ja",IFERROR(VLOOKUP(B135,Belastningsfaktor!$B$9:$F$108,3,FALSE),""),1)</f>
        <v>1.0977464795592096</v>
      </c>
      <c r="E135" s="115">
        <f t="shared" si="28"/>
        <v>2137.8472177866224</v>
      </c>
      <c r="F135" s="85">
        <f t="shared" si="29"/>
        <v>9.9236281752152564</v>
      </c>
      <c r="G135" s="85">
        <f t="shared" si="22"/>
        <v>784.66560493539941</v>
      </c>
      <c r="H135" s="85">
        <f t="shared" si="23"/>
        <v>336.28525925802836</v>
      </c>
      <c r="I135" s="85">
        <f t="shared" si="24"/>
        <v>915.20671823387499</v>
      </c>
      <c r="J135" s="85">
        <f t="shared" si="25"/>
        <v>101.68963535931945</v>
      </c>
      <c r="K135" s="85">
        <f t="shared" si="26"/>
        <v>0</v>
      </c>
      <c r="L135" s="85">
        <f t="shared" si="27"/>
        <v>0</v>
      </c>
      <c r="M135" s="85">
        <f t="shared" si="30"/>
        <v>0</v>
      </c>
      <c r="N135" s="85">
        <f t="shared" si="31"/>
        <v>0</v>
      </c>
      <c r="O135" s="85"/>
      <c r="P135" s="152"/>
    </row>
  </sheetData>
  <mergeCells count="6">
    <mergeCell ref="K35:L35"/>
    <mergeCell ref="E35:F35"/>
    <mergeCell ref="B35:B36"/>
    <mergeCell ref="G35:H35"/>
    <mergeCell ref="C35:D35"/>
    <mergeCell ref="I35:J35"/>
  </mergeCells>
  <dataValidations disablePrompts="1" count="1">
    <dataValidation type="list" allowBlank="1" showInputMessage="1" showErrorMessage="1" sqref="C31">
      <formula1>"Ja,Nej"</formula1>
    </dataValidation>
  </dataValidations>
  <pageMargins left="0.7" right="0.7" top="0.75" bottom="0.75" header="0.3" footer="0.3"/>
  <pageSetup paperSize="9" orientation="portrait" verticalDpi="0" r:id="rId1"/>
  <headerFooter>
    <oddFooter>&amp;LRM2644Z3JAHN-1315876101-408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showRuler="0" zoomScaleNormal="100" zoomScaleSheetLayoutView="400" zoomScalePageLayoutView="55" workbookViewId="0">
      <selection activeCell="D20" sqref="D20"/>
    </sheetView>
  </sheetViews>
  <sheetFormatPr defaultColWidth="10.42578125" defaultRowHeight="12.75" customHeight="1" x14ac:dyDescent="0.2"/>
  <cols>
    <col min="1" max="1" width="4" style="25" customWidth="1"/>
    <col min="2" max="2" width="42.7109375" style="25" customWidth="1"/>
    <col min="3" max="3" width="26.140625" style="25" bestFit="1" customWidth="1"/>
    <col min="4" max="4" width="24.28515625" style="25" customWidth="1"/>
    <col min="5" max="5" width="23.140625" style="25" bestFit="1" customWidth="1"/>
    <col min="6" max="6" width="19.85546875" style="25" customWidth="1"/>
    <col min="7" max="7" width="20.28515625" style="25" customWidth="1"/>
    <col min="8" max="8" width="21" style="25" bestFit="1" customWidth="1"/>
    <col min="9" max="9" width="21.85546875" style="25" customWidth="1"/>
    <col min="10" max="10" width="11.5703125" style="25" bestFit="1" customWidth="1"/>
    <col min="11" max="16384" width="10.42578125" style="25"/>
  </cols>
  <sheetData>
    <row r="1" spans="2:9" s="24" customFormat="1" ht="37.5" customHeight="1" x14ac:dyDescent="0.2">
      <c r="B1" s="28" t="s">
        <v>142</v>
      </c>
    </row>
    <row r="3" spans="2:9" s="24" customFormat="1" ht="18.75" customHeight="1" x14ac:dyDescent="0.2">
      <c r="B3" s="27" t="s">
        <v>143</v>
      </c>
    </row>
    <row r="4" spans="2:9" ht="12.75" customHeight="1" x14ac:dyDescent="0.2">
      <c r="B4" s="57"/>
      <c r="C4" s="57"/>
      <c r="D4" s="57"/>
    </row>
    <row r="5" spans="2:9" ht="12.75" customHeight="1" x14ac:dyDescent="0.2">
      <c r="B5" s="170" t="s">
        <v>144</v>
      </c>
      <c r="C5" s="169" t="s">
        <v>145</v>
      </c>
      <c r="D5" s="169"/>
      <c r="E5" s="168" t="s">
        <v>6</v>
      </c>
      <c r="F5" s="168"/>
      <c r="G5" s="171" t="s">
        <v>7</v>
      </c>
      <c r="H5" s="172"/>
      <c r="I5" s="119" t="s">
        <v>146</v>
      </c>
    </row>
    <row r="6" spans="2:9" ht="12.75" customHeight="1" x14ac:dyDescent="0.2">
      <c r="B6" s="170"/>
      <c r="C6" s="109" t="s">
        <v>147</v>
      </c>
      <c r="D6" s="109" t="s">
        <v>148</v>
      </c>
      <c r="E6" s="109" t="s">
        <v>147</v>
      </c>
      <c r="F6" s="109" t="s">
        <v>148</v>
      </c>
      <c r="G6" s="109" t="s">
        <v>147</v>
      </c>
      <c r="H6" s="109" t="s">
        <v>148</v>
      </c>
      <c r="I6" s="117" t="s">
        <v>147</v>
      </c>
    </row>
    <row r="7" spans="2:9" ht="12.75" customHeight="1" x14ac:dyDescent="0.2">
      <c r="B7" s="59" t="s">
        <v>149</v>
      </c>
      <c r="C7" s="154">
        <v>0.90721649484536071</v>
      </c>
      <c r="D7" s="154">
        <v>1.1294546617814002E-2</v>
      </c>
      <c r="E7" s="154">
        <v>0.90721649484536071</v>
      </c>
      <c r="F7" s="154">
        <v>1.1294546617814002E-2</v>
      </c>
      <c r="G7" s="154">
        <v>0.90721649484536071</v>
      </c>
      <c r="H7" s="154">
        <v>1.1294546617814002E-2</v>
      </c>
      <c r="I7" s="154">
        <v>0.90721649484536071</v>
      </c>
    </row>
    <row r="8" spans="2:9" ht="12.75" customHeight="1" x14ac:dyDescent="0.2">
      <c r="B8" s="59" t="s">
        <v>150</v>
      </c>
      <c r="C8" s="154">
        <v>5.1546391752577301E-3</v>
      </c>
      <c r="D8" s="154">
        <v>0.13026422310700739</v>
      </c>
      <c r="E8" s="154">
        <v>5.1546391752577301E-3</v>
      </c>
      <c r="F8" s="154">
        <v>0.13026422310700739</v>
      </c>
      <c r="G8" s="154">
        <v>5.1546391752577301E-3</v>
      </c>
      <c r="H8" s="154">
        <v>0.13026422310700739</v>
      </c>
      <c r="I8" s="154">
        <v>5.1546391752577301E-3</v>
      </c>
    </row>
    <row r="9" spans="2:9" ht="12.75" customHeight="1" x14ac:dyDescent="0.2">
      <c r="B9" s="59" t="s">
        <v>151</v>
      </c>
      <c r="C9" s="154">
        <v>5.1546391752577317E-2</v>
      </c>
      <c r="D9" s="154">
        <v>0.35041076015784989</v>
      </c>
      <c r="E9" s="154">
        <v>5.1546391752577317E-2</v>
      </c>
      <c r="F9" s="154">
        <v>0.35041076015784989</v>
      </c>
      <c r="G9" s="154">
        <v>5.1546391752577317E-2</v>
      </c>
      <c r="H9" s="154">
        <v>0.35041076015784989</v>
      </c>
      <c r="I9" s="154">
        <v>5.1546391752577317E-2</v>
      </c>
    </row>
    <row r="10" spans="2:9" ht="12.75" customHeight="1" x14ac:dyDescent="0.2">
      <c r="B10" s="59" t="s">
        <v>152</v>
      </c>
      <c r="C10" s="154">
        <v>5.1546391752577319E-3</v>
      </c>
      <c r="D10" s="154">
        <v>0.20842275697121182</v>
      </c>
      <c r="E10" s="154">
        <v>5.1546391752577319E-3</v>
      </c>
      <c r="F10" s="154">
        <v>0.20842275697121182</v>
      </c>
      <c r="G10" s="154">
        <v>5.1546391752577319E-3</v>
      </c>
      <c r="H10" s="154">
        <v>0.20842275697121182</v>
      </c>
      <c r="I10" s="154">
        <v>5.1546391752577319E-3</v>
      </c>
    </row>
    <row r="11" spans="2:9" ht="12.75" customHeight="1" x14ac:dyDescent="0.2">
      <c r="B11" s="59" t="s">
        <v>153</v>
      </c>
      <c r="C11" s="154">
        <v>2.0618556701030927E-2</v>
      </c>
      <c r="D11" s="154">
        <v>0.28658129083541622</v>
      </c>
      <c r="E11" s="154">
        <v>2.0618556701030927E-2</v>
      </c>
      <c r="F11" s="154">
        <v>0.28658129083541622</v>
      </c>
      <c r="G11" s="154">
        <v>2.0618556701030927E-2</v>
      </c>
      <c r="H11" s="154">
        <v>0.28658129083541622</v>
      </c>
      <c r="I11" s="154">
        <v>2.0618556701030927E-2</v>
      </c>
    </row>
    <row r="12" spans="2:9" ht="12.75" customHeight="1" x14ac:dyDescent="0.2">
      <c r="B12" s="59" t="s">
        <v>154</v>
      </c>
      <c r="C12" s="154">
        <v>1.0309278350515464E-2</v>
      </c>
      <c r="D12" s="154">
        <v>1.3026422310700739E-2</v>
      </c>
      <c r="E12" s="154">
        <v>1.0309278350515464E-2</v>
      </c>
      <c r="F12" s="154">
        <v>1.3026422310700739E-2</v>
      </c>
      <c r="G12" s="154">
        <v>1.0309278350515464E-2</v>
      </c>
      <c r="H12" s="154">
        <v>1.3026422310700739E-2</v>
      </c>
      <c r="I12" s="154">
        <v>1.0309278350515464E-2</v>
      </c>
    </row>
    <row r="13" spans="2:9" ht="12.75" customHeight="1" x14ac:dyDescent="0.2">
      <c r="B13" s="59" t="s">
        <v>155</v>
      </c>
      <c r="C13" s="24"/>
      <c r="D13" s="63"/>
      <c r="E13" s="154">
        <v>0</v>
      </c>
      <c r="F13" s="154">
        <v>0</v>
      </c>
      <c r="G13" s="154">
        <v>0</v>
      </c>
      <c r="H13" s="154">
        <v>0</v>
      </c>
      <c r="I13" s="154">
        <v>0</v>
      </c>
    </row>
    <row r="14" spans="2:9" ht="12.75" customHeight="1" x14ac:dyDescent="0.2">
      <c r="B14" s="61" t="s">
        <v>156</v>
      </c>
      <c r="C14" s="24"/>
      <c r="D14" s="64"/>
      <c r="E14" s="155">
        <v>0</v>
      </c>
      <c r="F14" s="155">
        <v>0</v>
      </c>
      <c r="G14" s="155">
        <v>0</v>
      </c>
      <c r="H14" s="155">
        <v>0</v>
      </c>
      <c r="I14" s="154">
        <v>0</v>
      </c>
    </row>
    <row r="15" spans="2:9" ht="12.75" customHeight="1" x14ac:dyDescent="0.2">
      <c r="B15" s="58" t="s">
        <v>43</v>
      </c>
      <c r="C15" s="62">
        <f>SUM(C7:C12)</f>
        <v>0.99999999999999989</v>
      </c>
      <c r="D15" s="62">
        <f>SUM(D7:D13)</f>
        <v>1.0000000000000002</v>
      </c>
      <c r="E15" s="62">
        <f>SUM(E7:E14)</f>
        <v>0.99999999999999989</v>
      </c>
      <c r="F15" s="62">
        <f>SUM(F7:F14)</f>
        <v>1.0000000000000002</v>
      </c>
      <c r="G15" s="62">
        <f>SUM(G7:G14)</f>
        <v>0.99999999999999989</v>
      </c>
      <c r="H15" s="62">
        <f>SUM(H7:H14)</f>
        <v>1.0000000000000002</v>
      </c>
      <c r="I15" s="118">
        <f>SUM(I7:I14)</f>
        <v>0.99999999999999989</v>
      </c>
    </row>
    <row r="19" spans="2:9" s="29" customFormat="1" ht="18.75" customHeight="1" x14ac:dyDescent="0.25">
      <c r="B19" s="27" t="s">
        <v>157</v>
      </c>
    </row>
    <row r="21" spans="2:9" ht="12.75" customHeight="1" x14ac:dyDescent="0.2">
      <c r="C21" s="65"/>
    </row>
    <row r="22" spans="2:9" s="57" customFormat="1" ht="38.25" customHeight="1" x14ac:dyDescent="0.2">
      <c r="B22" s="110" t="s">
        <v>144</v>
      </c>
      <c r="C22" s="104" t="s">
        <v>5</v>
      </c>
      <c r="D22" s="104" t="s">
        <v>6</v>
      </c>
      <c r="E22" s="104" t="s">
        <v>7</v>
      </c>
      <c r="F22" s="104" t="s">
        <v>158</v>
      </c>
      <c r="G22" s="105" t="s">
        <v>159</v>
      </c>
      <c r="H22" s="105" t="s">
        <v>160</v>
      </c>
      <c r="I22" s="104" t="s">
        <v>161</v>
      </c>
    </row>
    <row r="23" spans="2:9" ht="12.75" customHeight="1" x14ac:dyDescent="0.2">
      <c r="B23" s="60" t="str">
        <f t="shared" ref="B23:B30" si="0">B7</f>
        <v>Tobaksfiltre</v>
      </c>
      <c r="C23" s="106">
        <f>Model!$F$17*VLOOKUP($B23,$B$7:$H$15,3,FALSE)+Model!$G$17*VLOOKUP($B23,$B$7:$H$15,2,FALSE)</f>
        <v>19.458004129497173</v>
      </c>
      <c r="D23" s="106">
        <f>Model!$F$18*VLOOKUP($B23,$B$7:$H$15,5,FALSE)+Model!$G$18*VLOOKUP($B23,$B$7:$H$15,4,FALSE)</f>
        <v>10.919031470424734</v>
      </c>
      <c r="E23" s="32">
        <f>Model!$F$19*VLOOKUP($B23,$B$7:$H$15,7,FALSE)+Model!$G$19*VLOOKUP($B23,$B$7:$H$15,6,FALSE)</f>
        <v>0</v>
      </c>
      <c r="F23" s="32">
        <f>Model!$H$21*VLOOKUP($B23,$B$7:$I$15,8,FALSE)</f>
        <v>0</v>
      </c>
      <c r="G23" s="32">
        <f>Model!$H$22*VLOOKUP($B23,$B$7:$I$15,8,FALSE)</f>
        <v>0</v>
      </c>
      <c r="H23" s="120">
        <f>HLOOKUP(B23,Model!$B$26:$K$27,2,FALSE)</f>
        <v>0</v>
      </c>
      <c r="I23" s="32">
        <f>SUM(C23:H23)</f>
        <v>30.377035599921907</v>
      </c>
    </row>
    <row r="24" spans="2:9" ht="12.75" customHeight="1" x14ac:dyDescent="0.2">
      <c r="B24" s="60" t="str">
        <f t="shared" si="0"/>
        <v>Fødevarebeholdere</v>
      </c>
      <c r="C24" s="106">
        <f>Model!$F$17*VLOOKUP(B24,$B$7:$H$15,3,FALSE)+Model!$G$17*VLOOKUP(B24,$B$7:$H$15,2,FALSE)</f>
        <v>0.90237531101561164</v>
      </c>
      <c r="D24" s="106">
        <f>Model!$F$18*VLOOKUP($B24,$B$7:$H$15,5,FALSE)+Model!$G$18*VLOOKUP($B24,$B$7:$H$15,4,FALSE)</f>
        <v>1.7587938144738073</v>
      </c>
      <c r="E24" s="32">
        <f>Model!$F$19*VLOOKUP($B24,$B$7:$H$15,7,FALSE)+Model!$G$19*VLOOKUP($B24,$B$7:$H$15,6,FALSE)</f>
        <v>0</v>
      </c>
      <c r="F24" s="32">
        <f>Model!$H$21*VLOOKUP($B24,$B$7:$I$15,8,FALSE)</f>
        <v>0</v>
      </c>
      <c r="G24" s="32">
        <f>Model!$H$22*VLOOKUP($B24,$B$7:$I$15,8,FALSE)</f>
        <v>0</v>
      </c>
      <c r="H24" s="120">
        <f>HLOOKUP(B24,Model!$B$26:$K$27,2,FALSE)</f>
        <v>0</v>
      </c>
      <c r="I24" s="32">
        <f t="shared" ref="I24:I31" si="1">SUM(C24:F24)</f>
        <v>2.661169125489419</v>
      </c>
    </row>
    <row r="25" spans="2:9" ht="12.75" customHeight="1" x14ac:dyDescent="0.2">
      <c r="B25" s="60" t="str">
        <f t="shared" si="0"/>
        <v>Indpakningsposer og -folier</v>
      </c>
      <c r="C25" s="106">
        <f>Model!$F$17*VLOOKUP(B25,$B$7:$H$15,3,FALSE)+Model!$G$17*VLOOKUP(B25,$B$7:$H$15,2,FALSE)</f>
        <v>3.2327071895933357</v>
      </c>
      <c r="D25" s="106">
        <f>Model!$F$18*VLOOKUP($B25,$B$7:$H$15,5,FALSE)+Model!$G$18*VLOOKUP($B25,$B$7:$H$15,4,FALSE)</f>
        <v>5.1785540292463974</v>
      </c>
      <c r="E25" s="32">
        <f>Model!$F$19*VLOOKUP($B25,$B$7:$H$15,7,FALSE)+Model!$G$19*VLOOKUP($B25,$B$7:$H$15,6,FALSE)</f>
        <v>0</v>
      </c>
      <c r="F25" s="32">
        <f>Model!$H$21*VLOOKUP($B25,$B$7:$I$15,8,FALSE)</f>
        <v>0</v>
      </c>
      <c r="G25" s="32">
        <f>Model!$H$22*VLOOKUP($B25,$B$7:$I$15,8,FALSE)</f>
        <v>0</v>
      </c>
      <c r="H25" s="120">
        <f>HLOOKUP(B25,Model!$B$26:$K$27,2,FALSE)</f>
        <v>0</v>
      </c>
      <c r="I25" s="32">
        <f t="shared" si="1"/>
        <v>8.4112612188397335</v>
      </c>
    </row>
    <row r="26" spans="2:9" ht="12.75" customHeight="1" x14ac:dyDescent="0.2">
      <c r="B26" s="60" t="str">
        <f t="shared" si="0"/>
        <v>Drikkevarebeholdere</v>
      </c>
      <c r="C26" s="106">
        <f>Model!$F$17*VLOOKUP(B26,$B$7:$H$15,3,FALSE)+Model!$G$17*VLOOKUP(B26,$B$7:$H$15,2,FALSE)</f>
        <v>1.3777005575734322</v>
      </c>
      <c r="D26" s="106">
        <f>Model!$F$18*VLOOKUP($B26,$B$7:$H$15,5,FALSE)+Model!$G$18*VLOOKUP($B26,$B$7:$H$15,4,FALSE)</f>
        <v>2.7773479142405662</v>
      </c>
      <c r="E26" s="32">
        <f>Model!$F$19*VLOOKUP($B26,$B$7:$H$15,7,FALSE)+Model!$G$19*VLOOKUP($B26,$B$7:$H$15,6,FALSE)</f>
        <v>0</v>
      </c>
      <c r="F26" s="32">
        <f>Model!$H$21*VLOOKUP($B26,$B$7:$I$15,8,FALSE)</f>
        <v>0</v>
      </c>
      <c r="G26" s="32">
        <f>Model!$H$22*VLOOKUP($B26,$B$7:$I$15,8,FALSE)</f>
        <v>0</v>
      </c>
      <c r="H26" s="120">
        <f>HLOOKUP(B26,Model!$B$26:$K$27,2,FALSE)</f>
        <v>0</v>
      </c>
      <c r="I26" s="32">
        <f t="shared" si="1"/>
        <v>4.1550484718139984</v>
      </c>
    </row>
    <row r="27" spans="2:9" ht="12.75" customHeight="1" x14ac:dyDescent="0.2">
      <c r="B27" s="60" t="str">
        <f t="shared" si="0"/>
        <v>Drikkebægre inkl. kapsler og låg</v>
      </c>
      <c r="C27" s="106">
        <f>Model!$F$17*VLOOKUP(B27,$B$7:$H$15,3,FALSE)+Model!$G$17*VLOOKUP(B27,$B$7:$H$15,2,FALSE)</f>
        <v>2.1835255043889843</v>
      </c>
      <c r="D27" s="106">
        <f>Model!$F$18*VLOOKUP($B27,$B$7:$H$15,5,FALSE)+Model!$G$18*VLOOKUP($B27,$B$7:$H$15,4,FALSE)</f>
        <v>3.9795129585949534</v>
      </c>
      <c r="E27" s="32">
        <f>Model!$F$19*VLOOKUP($B27,$B$7:$H$15,7,FALSE)+Model!$G$19*VLOOKUP($B27,$B$7:$H$15,6,FALSE)</f>
        <v>0</v>
      </c>
      <c r="F27" s="32">
        <f>Model!$H$21*VLOOKUP($B27,$B$7:$I$15,8,FALSE)</f>
        <v>0</v>
      </c>
      <c r="G27" s="32">
        <f>Model!$H$22*VLOOKUP($B27,$B$7:$I$15,8,FALSE)</f>
        <v>0</v>
      </c>
      <c r="H27" s="120">
        <f>HLOOKUP(B27,Model!$B$26:$K$27,2,FALSE)</f>
        <v>0</v>
      </c>
      <c r="I27" s="32">
        <f t="shared" si="1"/>
        <v>6.1630384629839376</v>
      </c>
    </row>
    <row r="28" spans="2:9" ht="12.75" customHeight="1" x14ac:dyDescent="0.2">
      <c r="B28" s="60" t="str">
        <f t="shared" si="0"/>
        <v>Letvægtsplast  bæreposer</v>
      </c>
      <c r="C28" s="106">
        <f>Model!$F$17*VLOOKUP(B28,$B$7:$H$15,3,FALSE)+Model!$G$17*VLOOKUP(B28,$B$7:$H$15,2,FALSE)</f>
        <v>0.29955400793145803</v>
      </c>
      <c r="D28" s="106">
        <f>Model!$F$18*VLOOKUP($B28,$B$7:$H$15,5,FALSE)+Model!$G$18*VLOOKUP($B28,$B$7:$H$15,4,FALSE)</f>
        <v>0.29216631301954571</v>
      </c>
      <c r="E28" s="32">
        <f>Model!$F$19*VLOOKUP($B28,$B$7:$H$15,7,FALSE)+Model!$G$19*VLOOKUP($B28,$B$7:$H$15,6,FALSE)</f>
        <v>0</v>
      </c>
      <c r="F28" s="32">
        <f>Model!$H$21*VLOOKUP($B28,$B$7:$I$15,8,FALSE)</f>
        <v>0</v>
      </c>
      <c r="G28" s="32">
        <f>Model!$H$22*VLOOKUP($B28,$B$7:$I$15,8,FALSE)</f>
        <v>0</v>
      </c>
      <c r="H28" s="120">
        <f>HLOOKUP(B28,Model!$B$26:$K$27,2,FALSE)</f>
        <v>0</v>
      </c>
      <c r="I28" s="32">
        <f t="shared" si="1"/>
        <v>0.5917203209510038</v>
      </c>
    </row>
    <row r="29" spans="2:9" ht="12.75" customHeight="1" x14ac:dyDescent="0.2">
      <c r="B29" s="60" t="str">
        <f t="shared" si="0"/>
        <v>Vådservietter</v>
      </c>
      <c r="C29" s="106">
        <f>Model!$F$17*VLOOKUP(B29,$B$7:$H$15,3,FALSE)+Model!$G$17*VLOOKUP(B29,$B$7:$H$15,2,FALSE)</f>
        <v>0</v>
      </c>
      <c r="D29" s="106">
        <f>Model!$F$18*VLOOKUP($B29,$B$7:$H$15,5,FALSE)+Model!$G$18*VLOOKUP($B29,$B$7:$H$15,4,FALSE)</f>
        <v>0</v>
      </c>
      <c r="E29" s="32">
        <f>Model!$F$19*VLOOKUP($B29,$B$7:$H$15,7,FALSE)+Model!$G$19*VLOOKUP($B29,$B$7:$H$15,6,FALSE)</f>
        <v>0</v>
      </c>
      <c r="F29" s="32">
        <f>Model!$H$21*VLOOKUP($B29,$B$7:$I$15,8,FALSE)</f>
        <v>0</v>
      </c>
      <c r="G29" s="32">
        <f>Model!$H$22*VLOOKUP($B29,$B$7:$I$15,8,FALSE)</f>
        <v>0</v>
      </c>
      <c r="H29" s="120">
        <f>HLOOKUP(B29,Model!$B$26:$K$27,2,FALSE)</f>
        <v>0</v>
      </c>
      <c r="I29" s="32">
        <f t="shared" si="1"/>
        <v>0</v>
      </c>
    </row>
    <row r="30" spans="2:9" ht="12.75" customHeight="1" x14ac:dyDescent="0.2">
      <c r="B30" s="60" t="str">
        <f t="shared" si="0"/>
        <v>Balloner</v>
      </c>
      <c r="C30" s="106">
        <f>Model!$F$17*VLOOKUP(B30,$B$7:$H$15,3,FALSE)+Model!$G$17*VLOOKUP(B30,$B$7:$H$15,2,FALSE)</f>
        <v>0</v>
      </c>
      <c r="D30" s="106">
        <f>Model!$F$18*VLOOKUP($B30,$B$7:$H$15,5,FALSE)+Model!$G$18*VLOOKUP($B30,$B$7:$H$15,4,FALSE)</f>
        <v>0</v>
      </c>
      <c r="E30" s="32">
        <f>Model!$F$19*VLOOKUP($B30,$B$7:$H$15,7,FALSE)+Model!$G$19*VLOOKUP($B30,$B$7:$H$15,6,FALSE)</f>
        <v>0</v>
      </c>
      <c r="F30" s="32">
        <f>Model!$H$21*VLOOKUP($B30,$B$7:$I$15,8,FALSE)</f>
        <v>0</v>
      </c>
      <c r="G30" s="32">
        <f>Model!$H$22*VLOOKUP($B30,$B$7:$I$15,8,FALSE)</f>
        <v>0</v>
      </c>
      <c r="H30" s="120">
        <f>HLOOKUP(B30,Model!$B$26:$K$27,2,FALSE)</f>
        <v>0</v>
      </c>
      <c r="I30" s="32">
        <f t="shared" si="1"/>
        <v>0</v>
      </c>
    </row>
    <row r="31" spans="2:9" ht="12.75" customHeight="1" x14ac:dyDescent="0.2">
      <c r="B31" s="60" t="s">
        <v>162</v>
      </c>
      <c r="C31" s="106">
        <f>SUM(C23:C30)</f>
        <v>27.453866699999995</v>
      </c>
      <c r="D31" s="106">
        <f>SUM(D23:D30)</f>
        <v>24.905406500000002</v>
      </c>
      <c r="E31" s="32">
        <f>SUM(E23:E30)</f>
        <v>0</v>
      </c>
      <c r="F31" s="32">
        <f t="shared" ref="F31:G31" si="2">SUM(F23:F30)</f>
        <v>0</v>
      </c>
      <c r="G31" s="32">
        <f t="shared" si="2"/>
        <v>0</v>
      </c>
      <c r="H31" s="120">
        <f>SUM(H23:H30)</f>
        <v>0</v>
      </c>
      <c r="I31" s="32">
        <f t="shared" si="1"/>
        <v>52.359273199999997</v>
      </c>
    </row>
  </sheetData>
  <mergeCells count="4">
    <mergeCell ref="E5:F5"/>
    <mergeCell ref="C5:D5"/>
    <mergeCell ref="B5:B6"/>
    <mergeCell ref="G5:H5"/>
  </mergeCells>
  <pageMargins left="0.23622047244094491" right="0.23622047244094491" top="0.74803149606299213" bottom="0.74803149606299213" header="0.31496062992125984" footer="0.31496062992125984"/>
  <pageSetup paperSize="9" fitToWidth="0" fitToHeight="0" orientation="landscape" r:id="rId1"/>
  <headerFooter>
    <oddHeader xml:space="preserve">&amp;L&amp;G&amp;R&amp;18 </oddHeader>
    <oddFooter>&amp;C&amp;"Verdana,Regular"&amp;8&amp;P / &amp;K000000&amp;N&amp;LRM2644Z3JAHN-1315876101-408</oddFooter>
    <firstHeader xml:space="preserve">&amp;L&amp;G&amp;R&amp;18 </firstHeader>
    <firstFooter xml:space="preserve">&amp;L&amp;"Verdana,Regular"&amp;8NIRAS A/S
Sortemosevej 19
3450 Allerød, Denmark&amp;C&amp;8Reg. No. 37295728 Denmark
FRI, FIDIC
www.niras.com&amp;R&amp;"Verdana,Regular"&amp;8T: +45 4810 4200   
F: +45 4810 4300 
E: niras@niras.dk  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8"/>
  <sheetViews>
    <sheetView zoomScale="80" zoomScaleNormal="80" workbookViewId="0">
      <selection activeCell="I22" sqref="I22"/>
    </sheetView>
  </sheetViews>
  <sheetFormatPr defaultRowHeight="15" x14ac:dyDescent="0.25"/>
  <cols>
    <col min="1" max="1" width="5" style="1" customWidth="1"/>
    <col min="2" max="2" width="44.7109375" style="1" customWidth="1"/>
    <col min="3" max="3" width="27.5703125" style="1" customWidth="1"/>
    <col min="4" max="5" width="23.140625" style="1" customWidth="1"/>
    <col min="6" max="6" width="19.85546875" style="1" customWidth="1"/>
    <col min="7" max="7" width="20.85546875" style="1" customWidth="1"/>
    <col min="8" max="8" width="19" style="1" customWidth="1"/>
    <col min="9" max="9" width="14.42578125" style="1" customWidth="1"/>
    <col min="10" max="10" width="19.140625" style="1" customWidth="1"/>
    <col min="11" max="11" width="14.28515625" style="1" customWidth="1"/>
    <col min="12" max="12" width="16.140625" style="1" customWidth="1"/>
    <col min="13" max="13" width="14" style="1" customWidth="1"/>
    <col min="14" max="16384" width="9.140625" style="1"/>
  </cols>
  <sheetData>
    <row r="1" spans="2:11" s="123" customFormat="1" ht="37.5" customHeight="1" x14ac:dyDescent="0.25">
      <c r="B1" s="3" t="s">
        <v>163</v>
      </c>
    </row>
    <row r="2" spans="2:11" ht="14.25" customHeight="1" x14ac:dyDescent="0.25"/>
    <row r="3" spans="2:11" s="2" customFormat="1" ht="18.75" customHeight="1" x14ac:dyDescent="0.25">
      <c r="B3" s="4" t="s">
        <v>1</v>
      </c>
    </row>
    <row r="4" spans="2:11" ht="12.75" customHeight="1" x14ac:dyDescent="0.25">
      <c r="B4" s="5"/>
    </row>
    <row r="5" spans="2:11" x14ac:dyDescent="0.25">
      <c r="B5" s="22"/>
      <c r="C5" s="66"/>
    </row>
    <row r="6" spans="2:11" ht="21.75" customHeight="1" x14ac:dyDescent="0.25">
      <c r="B6" s="175" t="s">
        <v>164</v>
      </c>
      <c r="C6" s="174" t="s">
        <v>165</v>
      </c>
      <c r="D6" s="174"/>
      <c r="E6" s="174"/>
      <c r="F6" s="174"/>
      <c r="G6" s="174"/>
      <c r="H6" s="174"/>
      <c r="I6" s="174"/>
      <c r="J6" s="174"/>
      <c r="K6" s="174"/>
    </row>
    <row r="7" spans="2:11" ht="25.5" x14ac:dyDescent="0.25">
      <c r="B7" s="175"/>
      <c r="C7" s="126" t="str">
        <f>'Fordeling efter plast'!$B$7</f>
        <v>Tobaksfiltre</v>
      </c>
      <c r="D7" s="126" t="str">
        <f>'Fordeling efter plast'!$B$8</f>
        <v>Fødevarebeholdere</v>
      </c>
      <c r="E7" s="126" t="str">
        <f>'Fordeling efter plast'!$B$9</f>
        <v>Indpakningsposer og -folier</v>
      </c>
      <c r="F7" s="126" t="str">
        <f>'Fordeling efter plast'!$B$10</f>
        <v>Drikkevarebeholdere</v>
      </c>
      <c r="G7" s="126" t="str">
        <f>'Fordeling efter plast'!$B$11</f>
        <v>Drikkebægre inkl. kapsler og låg</v>
      </c>
      <c r="H7" s="126" t="str">
        <f>'Fordeling efter plast'!$B$12</f>
        <v>Letvægtsplast  bæreposer</v>
      </c>
      <c r="I7" s="126" t="str">
        <f>'Fordeling efter plast'!$B$13</f>
        <v>Vådservietter</v>
      </c>
      <c r="J7" s="126" t="str">
        <f>'Fordeling efter plast'!$B$14</f>
        <v>Balloner</v>
      </c>
      <c r="K7" s="127" t="s">
        <v>22</v>
      </c>
    </row>
    <row r="8" spans="2:11" ht="25.5" x14ac:dyDescent="0.25">
      <c r="B8" s="102" t="s">
        <v>166</v>
      </c>
      <c r="C8" s="125">
        <f>SUM('Fordeling efter plast'!$C$23:$F$23)</f>
        <v>30.377035599921907</v>
      </c>
      <c r="D8" s="125">
        <f>SUM('Fordeling efter plast'!$C$24:$F$24)</f>
        <v>2.661169125489419</v>
      </c>
      <c r="E8" s="125">
        <f>SUM('Fordeling efter plast'!$C$25:$F$25)</f>
        <v>8.4112612188397335</v>
      </c>
      <c r="F8" s="125">
        <f>SUM('Fordeling efter plast'!$C$26:$F$26)</f>
        <v>4.1550484718139984</v>
      </c>
      <c r="G8" s="125">
        <f>SUM('Fordeling efter plast'!$C$27:$F$27)</f>
        <v>6.1630384629839376</v>
      </c>
      <c r="H8" s="125">
        <f>SUM('Fordeling efter plast'!$C$28:$F$28)</f>
        <v>0.5917203209510038</v>
      </c>
      <c r="I8" s="125">
        <f>SUM('Fordeling efter plast'!$C$29:$F$29)</f>
        <v>0</v>
      </c>
      <c r="J8" s="125">
        <f>SUM('Fordeling efter plast'!$C$30:$F$30)</f>
        <v>0</v>
      </c>
      <c r="K8" s="128">
        <f>SUM(C8:J8)</f>
        <v>52.359273199999997</v>
      </c>
    </row>
    <row r="9" spans="2:11" x14ac:dyDescent="0.25">
      <c r="B9" s="145" t="s">
        <v>227</v>
      </c>
      <c r="C9" s="156"/>
      <c r="D9" s="156"/>
      <c r="E9" s="156"/>
      <c r="F9" s="156"/>
      <c r="G9" s="156"/>
      <c r="H9" s="156"/>
      <c r="I9" s="156"/>
      <c r="J9" s="156"/>
      <c r="K9" s="157"/>
    </row>
    <row r="10" spans="2:11" x14ac:dyDescent="0.25">
      <c r="B10" s="103" t="s">
        <v>230</v>
      </c>
      <c r="C10" s="125">
        <f>IFERROR(VLOOKUP(C7,'Fordeling efter plast'!$B$22:$H$31,6,FALSE),"")</f>
        <v>0</v>
      </c>
      <c r="D10" s="125">
        <f>IFERROR(VLOOKUP(D7,'Fordeling efter plast'!$B$22:$H$31,6,FALSE),"")</f>
        <v>0</v>
      </c>
      <c r="E10" s="125">
        <f>IFERROR(VLOOKUP(E7,'Fordeling efter plast'!$B$22:$H$31,6,FALSE),"")</f>
        <v>0</v>
      </c>
      <c r="F10" s="125">
        <f>IFERROR(VLOOKUP(F7,'Fordeling efter plast'!$B$22:$H$31,6,FALSE),"")</f>
        <v>0</v>
      </c>
      <c r="G10" s="125">
        <f>IFERROR(VLOOKUP(G7,'Fordeling efter plast'!$B$22:$H$31,6,FALSE),"")</f>
        <v>0</v>
      </c>
      <c r="H10" s="125">
        <f>IFERROR(VLOOKUP(H7,'Fordeling efter plast'!$B$22:$H$31,6,FALSE),"")</f>
        <v>0</v>
      </c>
      <c r="I10" s="125">
        <f>IFERROR(VLOOKUP(I7,'Fordeling efter plast'!$B$22:$H$31,6,FALSE),"")</f>
        <v>0</v>
      </c>
      <c r="J10" s="125">
        <f>IFERROR(VLOOKUP(J7,'Fordeling efter plast'!$B$22:$H$31,6,FALSE),"")</f>
        <v>0</v>
      </c>
      <c r="K10" s="128">
        <f t="shared" ref="K10:K12" si="0">SUM(C10:J10)</f>
        <v>0</v>
      </c>
    </row>
    <row r="11" spans="2:11" x14ac:dyDescent="0.25">
      <c r="B11" s="103" t="s">
        <v>231</v>
      </c>
      <c r="C11" s="125">
        <f>IFERROR(VLOOKUP(C7,'Fordeling efter plast'!$B$22:$H$31,7,FALSE),"")</f>
        <v>0</v>
      </c>
      <c r="D11" s="125">
        <f>IFERROR(VLOOKUP(D7,'Fordeling efter plast'!$B$22:$H$31,7,FALSE),"")</f>
        <v>0</v>
      </c>
      <c r="E11" s="125">
        <f>IFERROR(VLOOKUP(E7,'Fordeling efter plast'!$B$22:$H$31,7,FALSE),"")</f>
        <v>0</v>
      </c>
      <c r="F11" s="125">
        <f>IFERROR(VLOOKUP(F7,'Fordeling efter plast'!$B$22:$H$31,7,FALSE),"")</f>
        <v>0</v>
      </c>
      <c r="G11" s="125">
        <f>IFERROR(VLOOKUP(G7,'Fordeling efter plast'!$B$22:$H$31,7,FALSE),"")</f>
        <v>0</v>
      </c>
      <c r="H11" s="125">
        <f>IFERROR(VLOOKUP(H7,'Fordeling efter plast'!$B$22:$H$31,7,FALSE),"")</f>
        <v>0</v>
      </c>
      <c r="I11" s="125">
        <f>IFERROR(VLOOKUP(I7,'Fordeling efter plast'!$B$22:$H$31,7,FALSE),"")</f>
        <v>0</v>
      </c>
      <c r="J11" s="125">
        <f>IFERROR(VLOOKUP(J7,'Fordeling efter plast'!$B$22:$H$31,7,FALSE),"")</f>
        <v>0</v>
      </c>
      <c r="K11" s="128">
        <f t="shared" si="0"/>
        <v>0</v>
      </c>
    </row>
    <row r="12" spans="2:11" x14ac:dyDescent="0.25">
      <c r="B12" s="103" t="s">
        <v>21</v>
      </c>
      <c r="C12" s="125">
        <f>SUM(C8:C11)</f>
        <v>30.377035599921907</v>
      </c>
      <c r="D12" s="125">
        <f t="shared" ref="D12:J12" si="1">SUM(D8:D11)</f>
        <v>2.661169125489419</v>
      </c>
      <c r="E12" s="125">
        <f t="shared" si="1"/>
        <v>8.4112612188397335</v>
      </c>
      <c r="F12" s="125">
        <f t="shared" si="1"/>
        <v>4.1550484718139984</v>
      </c>
      <c r="G12" s="125">
        <f t="shared" si="1"/>
        <v>6.1630384629839376</v>
      </c>
      <c r="H12" s="125">
        <f t="shared" si="1"/>
        <v>0.5917203209510038</v>
      </c>
      <c r="I12" s="125">
        <f t="shared" si="1"/>
        <v>0</v>
      </c>
      <c r="J12" s="125">
        <f t="shared" si="1"/>
        <v>0</v>
      </c>
      <c r="K12" s="128">
        <f t="shared" si="0"/>
        <v>52.359273199999997</v>
      </c>
    </row>
    <row r="13" spans="2:11" s="45" customFormat="1" x14ac:dyDescent="0.25">
      <c r="B13" s="67"/>
      <c r="C13" s="67"/>
      <c r="D13" s="67"/>
      <c r="E13" s="67"/>
      <c r="F13" s="67"/>
      <c r="G13" s="67"/>
      <c r="H13" s="67"/>
      <c r="I13" s="67"/>
    </row>
    <row r="14" spans="2:11" s="45" customFormat="1" x14ac:dyDescent="0.25">
      <c r="B14" s="67"/>
      <c r="C14" s="122" t="s">
        <v>24</v>
      </c>
      <c r="D14" s="67"/>
      <c r="E14" s="67"/>
      <c r="F14" s="67"/>
      <c r="G14" s="67"/>
      <c r="H14" s="67"/>
      <c r="I14" s="67"/>
    </row>
    <row r="15" spans="2:11" x14ac:dyDescent="0.25">
      <c r="B15" s="121" t="s">
        <v>167</v>
      </c>
      <c r="C15" s="124" t="s">
        <v>26</v>
      </c>
    </row>
    <row r="16" spans="2:11" x14ac:dyDescent="0.25">
      <c r="B16" s="44"/>
      <c r="C16" s="44"/>
    </row>
    <row r="17" spans="2:8" s="2" customFormat="1" ht="18.75" customHeight="1" x14ac:dyDescent="0.25">
      <c r="B17" s="4" t="s">
        <v>27</v>
      </c>
    </row>
    <row r="19" spans="2:8" ht="28.5" customHeight="1" x14ac:dyDescent="0.25">
      <c r="B19" s="173" t="s">
        <v>168</v>
      </c>
      <c r="C19" s="174" t="s">
        <v>29</v>
      </c>
      <c r="D19" s="174"/>
      <c r="E19" s="111" t="s">
        <v>229</v>
      </c>
      <c r="F19" s="146" t="s">
        <v>228</v>
      </c>
      <c r="G19" s="111" t="s">
        <v>159</v>
      </c>
      <c r="H19" s="111" t="s">
        <v>160</v>
      </c>
    </row>
    <row r="20" spans="2:8" s="23" customFormat="1" ht="30" x14ac:dyDescent="0.25">
      <c r="B20" s="173"/>
      <c r="C20" s="111" t="s">
        <v>169</v>
      </c>
      <c r="D20" s="111" t="s">
        <v>170</v>
      </c>
      <c r="E20" s="111" t="s">
        <v>37</v>
      </c>
      <c r="F20" s="146" t="s">
        <v>37</v>
      </c>
      <c r="G20" s="111" t="s">
        <v>37</v>
      </c>
      <c r="H20" s="111" t="s">
        <v>37</v>
      </c>
    </row>
    <row r="21" spans="2:8" s="23" customFormat="1" x14ac:dyDescent="0.25">
      <c r="B21" s="139" t="str">
        <f>'Fordeling efter plast'!B23</f>
        <v>Tobaksfiltre</v>
      </c>
      <c r="C21" s="136"/>
      <c r="D21" s="137"/>
      <c r="E21" s="138"/>
      <c r="F21" s="138"/>
      <c r="G21" s="138"/>
      <c r="H21" s="140"/>
    </row>
    <row r="22" spans="2:8" x14ac:dyDescent="0.25">
      <c r="B22" s="36" t="s">
        <v>171</v>
      </c>
      <c r="C22" s="20"/>
      <c r="D22" s="21">
        <f>IF($C$15="Ja",1,1)</f>
        <v>1</v>
      </c>
      <c r="E22" s="21" t="str">
        <f>IFERROR(C22/SUM($C$22:$C$31)*$C$8*D22*1000,"")</f>
        <v/>
      </c>
      <c r="F22" s="21"/>
      <c r="G22" s="21" t="str">
        <f t="shared" ref="G22:G31" si="2">IFERROR(C22/SUM($C$22:$C$31)*$C$10*D22*1000,"")</f>
        <v/>
      </c>
      <c r="H22" s="21" t="str">
        <f t="shared" ref="H22:H31" si="3">IFERROR(C22/SUM($C$22:$C$31)*$C$11*D22*1000,"")</f>
        <v/>
      </c>
    </row>
    <row r="23" spans="2:8" x14ac:dyDescent="0.25">
      <c r="B23" s="36" t="s">
        <v>172</v>
      </c>
      <c r="C23" s="20"/>
      <c r="D23" s="21">
        <f t="shared" ref="D23:D86" si="4">IF($C$15="Ja",1,1)</f>
        <v>1</v>
      </c>
      <c r="E23" s="21" t="str">
        <f t="shared" ref="E23:E31" si="5">IFERROR(C23/SUM($C$22:$C$31)*$C$8*D23*1000,"")</f>
        <v/>
      </c>
      <c r="F23" s="21"/>
      <c r="G23" s="21" t="str">
        <f t="shared" si="2"/>
        <v/>
      </c>
      <c r="H23" s="21" t="str">
        <f t="shared" si="3"/>
        <v/>
      </c>
    </row>
    <row r="24" spans="2:8" x14ac:dyDescent="0.25">
      <c r="B24" s="36" t="s">
        <v>173</v>
      </c>
      <c r="C24" s="20"/>
      <c r="D24" s="21">
        <f t="shared" si="4"/>
        <v>1</v>
      </c>
      <c r="E24" s="21" t="str">
        <f t="shared" si="5"/>
        <v/>
      </c>
      <c r="F24" s="21"/>
      <c r="G24" s="21" t="str">
        <f t="shared" si="2"/>
        <v/>
      </c>
      <c r="H24" s="21" t="str">
        <f t="shared" si="3"/>
        <v/>
      </c>
    </row>
    <row r="25" spans="2:8" x14ac:dyDescent="0.25">
      <c r="B25" s="36" t="s">
        <v>174</v>
      </c>
      <c r="C25" s="20"/>
      <c r="D25" s="21">
        <f t="shared" si="4"/>
        <v>1</v>
      </c>
      <c r="E25" s="21" t="str">
        <f t="shared" si="5"/>
        <v/>
      </c>
      <c r="F25" s="21"/>
      <c r="G25" s="21" t="str">
        <f t="shared" si="2"/>
        <v/>
      </c>
      <c r="H25" s="21" t="str">
        <f t="shared" si="3"/>
        <v/>
      </c>
    </row>
    <row r="26" spans="2:8" x14ac:dyDescent="0.25">
      <c r="B26" s="36" t="s">
        <v>175</v>
      </c>
      <c r="C26" s="20"/>
      <c r="D26" s="21">
        <f t="shared" si="4"/>
        <v>1</v>
      </c>
      <c r="E26" s="21" t="str">
        <f t="shared" si="5"/>
        <v/>
      </c>
      <c r="F26" s="21"/>
      <c r="G26" s="21" t="str">
        <f t="shared" si="2"/>
        <v/>
      </c>
      <c r="H26" s="21" t="str">
        <f t="shared" si="3"/>
        <v/>
      </c>
    </row>
    <row r="27" spans="2:8" x14ac:dyDescent="0.25">
      <c r="B27" s="36" t="s">
        <v>176</v>
      </c>
      <c r="C27" s="20"/>
      <c r="D27" s="21">
        <f t="shared" si="4"/>
        <v>1</v>
      </c>
      <c r="E27" s="21" t="str">
        <f t="shared" si="5"/>
        <v/>
      </c>
      <c r="F27" s="21"/>
      <c r="G27" s="21" t="str">
        <f t="shared" si="2"/>
        <v/>
      </c>
      <c r="H27" s="21" t="str">
        <f t="shared" si="3"/>
        <v/>
      </c>
    </row>
    <row r="28" spans="2:8" x14ac:dyDescent="0.25">
      <c r="B28" s="36" t="s">
        <v>177</v>
      </c>
      <c r="C28" s="20"/>
      <c r="D28" s="21">
        <f t="shared" si="4"/>
        <v>1</v>
      </c>
      <c r="E28" s="21" t="str">
        <f t="shared" si="5"/>
        <v/>
      </c>
      <c r="F28" s="21"/>
      <c r="G28" s="21" t="str">
        <f t="shared" si="2"/>
        <v/>
      </c>
      <c r="H28" s="21" t="str">
        <f t="shared" si="3"/>
        <v/>
      </c>
    </row>
    <row r="29" spans="2:8" x14ac:dyDescent="0.25">
      <c r="B29" s="36" t="s">
        <v>178</v>
      </c>
      <c r="C29" s="20"/>
      <c r="D29" s="21">
        <f t="shared" si="4"/>
        <v>1</v>
      </c>
      <c r="E29" s="21" t="str">
        <f t="shared" si="5"/>
        <v/>
      </c>
      <c r="F29" s="21"/>
      <c r="G29" s="21" t="str">
        <f t="shared" si="2"/>
        <v/>
      </c>
      <c r="H29" s="21" t="str">
        <f t="shared" si="3"/>
        <v/>
      </c>
    </row>
    <row r="30" spans="2:8" x14ac:dyDescent="0.25">
      <c r="B30" s="36" t="s">
        <v>179</v>
      </c>
      <c r="C30" s="20"/>
      <c r="D30" s="21">
        <f t="shared" si="4"/>
        <v>1</v>
      </c>
      <c r="E30" s="21" t="str">
        <f t="shared" si="5"/>
        <v/>
      </c>
      <c r="F30" s="21"/>
      <c r="G30" s="21" t="str">
        <f t="shared" si="2"/>
        <v/>
      </c>
      <c r="H30" s="21" t="str">
        <f t="shared" si="3"/>
        <v/>
      </c>
    </row>
    <row r="31" spans="2:8" x14ac:dyDescent="0.25">
      <c r="B31" s="36" t="s">
        <v>180</v>
      </c>
      <c r="C31" s="20"/>
      <c r="D31" s="21">
        <f t="shared" si="4"/>
        <v>1</v>
      </c>
      <c r="E31" s="21" t="str">
        <f t="shared" si="5"/>
        <v/>
      </c>
      <c r="F31" s="21"/>
      <c r="G31" s="21" t="str">
        <f t="shared" si="2"/>
        <v/>
      </c>
      <c r="H31" s="21" t="str">
        <f t="shared" si="3"/>
        <v/>
      </c>
    </row>
    <row r="32" spans="2:8" x14ac:dyDescent="0.25">
      <c r="B32" s="131" t="str">
        <f>'Fordeling efter plast'!B24</f>
        <v>Fødevarebeholdere</v>
      </c>
      <c r="C32" s="67"/>
      <c r="D32" s="66"/>
      <c r="E32" s="66"/>
      <c r="F32" s="66"/>
      <c r="G32" s="66"/>
      <c r="H32" s="135"/>
    </row>
    <row r="33" spans="2:8" x14ac:dyDescent="0.25">
      <c r="B33" s="36" t="s">
        <v>171</v>
      </c>
      <c r="C33" s="20"/>
      <c r="D33" s="21">
        <f t="shared" si="4"/>
        <v>1</v>
      </c>
      <c r="E33" s="21" t="str">
        <f>IFERROR(C33/SUM($C$33:$C$42)*$D$8*D33*1000,"")</f>
        <v/>
      </c>
      <c r="F33" s="21"/>
      <c r="G33" s="21" t="str">
        <f t="shared" ref="G33:G42" si="6">IFERROR(C33/SUM($C$33:$C$42)*$D$10*D33*1000,"")</f>
        <v/>
      </c>
      <c r="H33" s="21" t="str">
        <f t="shared" ref="H33:H42" si="7">IFERROR(C33/SUM($C$33:$C$42)*$D$11*D33*1000,"")</f>
        <v/>
      </c>
    </row>
    <row r="34" spans="2:8" x14ac:dyDescent="0.25">
      <c r="B34" s="36" t="s">
        <v>172</v>
      </c>
      <c r="C34" s="20"/>
      <c r="D34" s="21">
        <f t="shared" si="4"/>
        <v>1</v>
      </c>
      <c r="E34" s="21" t="str">
        <f t="shared" ref="E34:E42" si="8">IFERROR(C34/SUM($C$33:$C$42)*$D$8*D34*1000,"")</f>
        <v/>
      </c>
      <c r="F34" s="21"/>
      <c r="G34" s="21" t="str">
        <f t="shared" si="6"/>
        <v/>
      </c>
      <c r="H34" s="21" t="str">
        <f t="shared" si="7"/>
        <v/>
      </c>
    </row>
    <row r="35" spans="2:8" x14ac:dyDescent="0.25">
      <c r="B35" s="36" t="s">
        <v>173</v>
      </c>
      <c r="C35" s="20"/>
      <c r="D35" s="21">
        <f t="shared" si="4"/>
        <v>1</v>
      </c>
      <c r="E35" s="21" t="str">
        <f t="shared" si="8"/>
        <v/>
      </c>
      <c r="F35" s="21"/>
      <c r="G35" s="21" t="str">
        <f t="shared" si="6"/>
        <v/>
      </c>
      <c r="H35" s="21" t="str">
        <f t="shared" si="7"/>
        <v/>
      </c>
    </row>
    <row r="36" spans="2:8" x14ac:dyDescent="0.25">
      <c r="B36" s="36" t="s">
        <v>174</v>
      </c>
      <c r="C36" s="20"/>
      <c r="D36" s="21">
        <f t="shared" si="4"/>
        <v>1</v>
      </c>
      <c r="E36" s="21" t="str">
        <f t="shared" si="8"/>
        <v/>
      </c>
      <c r="F36" s="21"/>
      <c r="G36" s="21" t="str">
        <f t="shared" si="6"/>
        <v/>
      </c>
      <c r="H36" s="21" t="str">
        <f t="shared" si="7"/>
        <v/>
      </c>
    </row>
    <row r="37" spans="2:8" x14ac:dyDescent="0.25">
      <c r="B37" s="36" t="s">
        <v>175</v>
      </c>
      <c r="C37" s="20"/>
      <c r="D37" s="21">
        <f t="shared" si="4"/>
        <v>1</v>
      </c>
      <c r="E37" s="21" t="str">
        <f t="shared" si="8"/>
        <v/>
      </c>
      <c r="F37" s="21"/>
      <c r="G37" s="21" t="str">
        <f t="shared" si="6"/>
        <v/>
      </c>
      <c r="H37" s="21" t="str">
        <f t="shared" si="7"/>
        <v/>
      </c>
    </row>
    <row r="38" spans="2:8" x14ac:dyDescent="0.25">
      <c r="B38" s="36" t="s">
        <v>176</v>
      </c>
      <c r="C38" s="20"/>
      <c r="D38" s="21">
        <f t="shared" si="4"/>
        <v>1</v>
      </c>
      <c r="E38" s="21" t="str">
        <f t="shared" si="8"/>
        <v/>
      </c>
      <c r="F38" s="21"/>
      <c r="G38" s="21" t="str">
        <f t="shared" si="6"/>
        <v/>
      </c>
      <c r="H38" s="21" t="str">
        <f t="shared" si="7"/>
        <v/>
      </c>
    </row>
    <row r="39" spans="2:8" x14ac:dyDescent="0.25">
      <c r="B39" s="36" t="s">
        <v>177</v>
      </c>
      <c r="C39" s="20"/>
      <c r="D39" s="21">
        <f t="shared" si="4"/>
        <v>1</v>
      </c>
      <c r="E39" s="21" t="str">
        <f t="shared" si="8"/>
        <v/>
      </c>
      <c r="F39" s="21"/>
      <c r="G39" s="21" t="str">
        <f t="shared" si="6"/>
        <v/>
      </c>
      <c r="H39" s="21" t="str">
        <f t="shared" si="7"/>
        <v/>
      </c>
    </row>
    <row r="40" spans="2:8" x14ac:dyDescent="0.25">
      <c r="B40" s="36" t="s">
        <v>178</v>
      </c>
      <c r="C40" s="20"/>
      <c r="D40" s="21">
        <f t="shared" si="4"/>
        <v>1</v>
      </c>
      <c r="E40" s="21" t="str">
        <f t="shared" si="8"/>
        <v/>
      </c>
      <c r="F40" s="21"/>
      <c r="G40" s="21" t="str">
        <f t="shared" si="6"/>
        <v/>
      </c>
      <c r="H40" s="21" t="str">
        <f t="shared" si="7"/>
        <v/>
      </c>
    </row>
    <row r="41" spans="2:8" x14ac:dyDescent="0.25">
      <c r="B41" s="36" t="s">
        <v>179</v>
      </c>
      <c r="C41" s="20"/>
      <c r="D41" s="21">
        <f t="shared" si="4"/>
        <v>1</v>
      </c>
      <c r="E41" s="21" t="str">
        <f t="shared" si="8"/>
        <v/>
      </c>
      <c r="F41" s="21"/>
      <c r="G41" s="21" t="str">
        <f t="shared" si="6"/>
        <v/>
      </c>
      <c r="H41" s="21" t="str">
        <f t="shared" si="7"/>
        <v/>
      </c>
    </row>
    <row r="42" spans="2:8" x14ac:dyDescent="0.25">
      <c r="B42" s="36" t="s">
        <v>180</v>
      </c>
      <c r="C42" s="20"/>
      <c r="D42" s="21">
        <f t="shared" si="4"/>
        <v>1</v>
      </c>
      <c r="E42" s="21" t="str">
        <f t="shared" si="8"/>
        <v/>
      </c>
      <c r="F42" s="21"/>
      <c r="G42" s="21" t="str">
        <f t="shared" si="6"/>
        <v/>
      </c>
      <c r="H42" s="21" t="str">
        <f t="shared" si="7"/>
        <v/>
      </c>
    </row>
    <row r="43" spans="2:8" x14ac:dyDescent="0.25">
      <c r="B43" s="131" t="str">
        <f>'Fordeling efter plast'!B25</f>
        <v>Indpakningsposer og -folier</v>
      </c>
      <c r="C43" s="67"/>
      <c r="D43" s="66"/>
      <c r="E43" s="66"/>
      <c r="F43" s="66"/>
      <c r="G43" s="66"/>
      <c r="H43" s="135"/>
    </row>
    <row r="44" spans="2:8" x14ac:dyDescent="0.25">
      <c r="B44" s="36" t="s">
        <v>171</v>
      </c>
      <c r="C44" s="20"/>
      <c r="D44" s="21">
        <f t="shared" si="4"/>
        <v>1</v>
      </c>
      <c r="E44" s="21" t="str">
        <f>IFERROR(C44/SUM($C$44:$C$53)*$E$8*D44*1000,"")</f>
        <v/>
      </c>
      <c r="F44" s="21"/>
      <c r="G44" s="21" t="str">
        <f t="shared" ref="G44:G53" si="9">IFERROR(C44/SUM($C$44:$C$53)*$E$10*D44*1000,"")</f>
        <v/>
      </c>
      <c r="H44" s="21" t="str">
        <f t="shared" ref="H44:H53" si="10">IFERROR(C44/SUM($C$44:$C$53)*$E$11*D44*1000,"")</f>
        <v/>
      </c>
    </row>
    <row r="45" spans="2:8" x14ac:dyDescent="0.25">
      <c r="B45" s="36" t="s">
        <v>172</v>
      </c>
      <c r="C45" s="20"/>
      <c r="D45" s="21">
        <f t="shared" si="4"/>
        <v>1</v>
      </c>
      <c r="E45" s="21" t="str">
        <f t="shared" ref="E45:E53" si="11">IFERROR(C45/SUM($C$44:$C$53)*$E$8*D45*1000,"")</f>
        <v/>
      </c>
      <c r="F45" s="21"/>
      <c r="G45" s="21" t="str">
        <f t="shared" si="9"/>
        <v/>
      </c>
      <c r="H45" s="21" t="str">
        <f t="shared" si="10"/>
        <v/>
      </c>
    </row>
    <row r="46" spans="2:8" x14ac:dyDescent="0.25">
      <c r="B46" s="36" t="s">
        <v>173</v>
      </c>
      <c r="C46" s="20"/>
      <c r="D46" s="21">
        <f t="shared" si="4"/>
        <v>1</v>
      </c>
      <c r="E46" s="21" t="str">
        <f t="shared" si="11"/>
        <v/>
      </c>
      <c r="F46" s="21"/>
      <c r="G46" s="21" t="str">
        <f t="shared" si="9"/>
        <v/>
      </c>
      <c r="H46" s="21" t="str">
        <f t="shared" si="10"/>
        <v/>
      </c>
    </row>
    <row r="47" spans="2:8" x14ac:dyDescent="0.25">
      <c r="B47" s="36" t="s">
        <v>174</v>
      </c>
      <c r="C47" s="20"/>
      <c r="D47" s="21">
        <f t="shared" si="4"/>
        <v>1</v>
      </c>
      <c r="E47" s="21" t="str">
        <f t="shared" si="11"/>
        <v/>
      </c>
      <c r="F47" s="21"/>
      <c r="G47" s="21" t="str">
        <f t="shared" si="9"/>
        <v/>
      </c>
      <c r="H47" s="21" t="str">
        <f t="shared" si="10"/>
        <v/>
      </c>
    </row>
    <row r="48" spans="2:8" x14ac:dyDescent="0.25">
      <c r="B48" s="36" t="s">
        <v>175</v>
      </c>
      <c r="C48" s="20"/>
      <c r="D48" s="21">
        <f t="shared" si="4"/>
        <v>1</v>
      </c>
      <c r="E48" s="21" t="str">
        <f t="shared" si="11"/>
        <v/>
      </c>
      <c r="F48" s="21"/>
      <c r="G48" s="21" t="str">
        <f t="shared" si="9"/>
        <v/>
      </c>
      <c r="H48" s="21" t="str">
        <f t="shared" si="10"/>
        <v/>
      </c>
    </row>
    <row r="49" spans="2:8" x14ac:dyDescent="0.25">
      <c r="B49" s="36" t="s">
        <v>176</v>
      </c>
      <c r="C49" s="20"/>
      <c r="D49" s="21">
        <f t="shared" si="4"/>
        <v>1</v>
      </c>
      <c r="E49" s="21" t="str">
        <f t="shared" si="11"/>
        <v/>
      </c>
      <c r="F49" s="21"/>
      <c r="G49" s="21" t="str">
        <f t="shared" si="9"/>
        <v/>
      </c>
      <c r="H49" s="21" t="str">
        <f t="shared" si="10"/>
        <v/>
      </c>
    </row>
    <row r="50" spans="2:8" x14ac:dyDescent="0.25">
      <c r="B50" s="36" t="s">
        <v>177</v>
      </c>
      <c r="C50" s="20"/>
      <c r="D50" s="21">
        <f t="shared" si="4"/>
        <v>1</v>
      </c>
      <c r="E50" s="21" t="str">
        <f t="shared" si="11"/>
        <v/>
      </c>
      <c r="F50" s="21"/>
      <c r="G50" s="21" t="str">
        <f t="shared" si="9"/>
        <v/>
      </c>
      <c r="H50" s="21" t="str">
        <f t="shared" si="10"/>
        <v/>
      </c>
    </row>
    <row r="51" spans="2:8" x14ac:dyDescent="0.25">
      <c r="B51" s="36" t="s">
        <v>178</v>
      </c>
      <c r="C51" s="20"/>
      <c r="D51" s="21">
        <f t="shared" si="4"/>
        <v>1</v>
      </c>
      <c r="E51" s="21" t="str">
        <f t="shared" si="11"/>
        <v/>
      </c>
      <c r="F51" s="21"/>
      <c r="G51" s="21" t="str">
        <f t="shared" si="9"/>
        <v/>
      </c>
      <c r="H51" s="21" t="str">
        <f t="shared" si="10"/>
        <v/>
      </c>
    </row>
    <row r="52" spans="2:8" x14ac:dyDescent="0.25">
      <c r="B52" s="36" t="s">
        <v>179</v>
      </c>
      <c r="C52" s="20"/>
      <c r="D52" s="21">
        <f t="shared" si="4"/>
        <v>1</v>
      </c>
      <c r="E52" s="21" t="str">
        <f t="shared" si="11"/>
        <v/>
      </c>
      <c r="F52" s="21"/>
      <c r="G52" s="21" t="str">
        <f t="shared" si="9"/>
        <v/>
      </c>
      <c r="H52" s="21" t="str">
        <f t="shared" si="10"/>
        <v/>
      </c>
    </row>
    <row r="53" spans="2:8" x14ac:dyDescent="0.25">
      <c r="B53" s="36" t="s">
        <v>180</v>
      </c>
      <c r="C53" s="20"/>
      <c r="D53" s="21">
        <f t="shared" si="4"/>
        <v>1</v>
      </c>
      <c r="E53" s="21" t="str">
        <f t="shared" si="11"/>
        <v/>
      </c>
      <c r="F53" s="21"/>
      <c r="G53" s="21" t="str">
        <f t="shared" si="9"/>
        <v/>
      </c>
      <c r="H53" s="21" t="str">
        <f t="shared" si="10"/>
        <v/>
      </c>
    </row>
    <row r="54" spans="2:8" x14ac:dyDescent="0.25">
      <c r="B54" s="131" t="str">
        <f>'Fordeling efter plast'!B26</f>
        <v>Drikkevarebeholdere</v>
      </c>
      <c r="C54" s="67"/>
      <c r="D54" s="66"/>
      <c r="E54" s="66"/>
      <c r="F54" s="66"/>
      <c r="G54" s="66"/>
      <c r="H54" s="135"/>
    </row>
    <row r="55" spans="2:8" x14ac:dyDescent="0.25">
      <c r="B55" s="36" t="s">
        <v>171</v>
      </c>
      <c r="C55" s="20"/>
      <c r="D55" s="21">
        <f t="shared" si="4"/>
        <v>1</v>
      </c>
      <c r="E55" s="21" t="str">
        <f>IFERROR(C55/SUM($C$55:$C$64)*$F$8*D55*1000,"")</f>
        <v/>
      </c>
      <c r="F55" s="21"/>
      <c r="G55" s="21" t="str">
        <f t="shared" ref="G55:G64" si="12">IFERROR(C55/SUM($C$55:$C$64)*$F$10*D55*1000,"")</f>
        <v/>
      </c>
      <c r="H55" s="21" t="str">
        <f t="shared" ref="H55:H64" si="13">IFERROR(C55/SUM($C$55:$C$64)*$F$11*D55*1000,"")</f>
        <v/>
      </c>
    </row>
    <row r="56" spans="2:8" x14ac:dyDescent="0.25">
      <c r="B56" s="36" t="s">
        <v>172</v>
      </c>
      <c r="C56" s="20"/>
      <c r="D56" s="21">
        <f t="shared" si="4"/>
        <v>1</v>
      </c>
      <c r="E56" s="21" t="str">
        <f t="shared" ref="E56:E64" si="14">IFERROR(C56/SUM($C$55:$C$64)*$F$8*D56*1000,"")</f>
        <v/>
      </c>
      <c r="F56" s="21"/>
      <c r="G56" s="21" t="str">
        <f t="shared" si="12"/>
        <v/>
      </c>
      <c r="H56" s="21" t="str">
        <f t="shared" si="13"/>
        <v/>
      </c>
    </row>
    <row r="57" spans="2:8" x14ac:dyDescent="0.25">
      <c r="B57" s="36" t="s">
        <v>173</v>
      </c>
      <c r="C57" s="20"/>
      <c r="D57" s="21">
        <f t="shared" si="4"/>
        <v>1</v>
      </c>
      <c r="E57" s="21" t="str">
        <f t="shared" si="14"/>
        <v/>
      </c>
      <c r="F57" s="21"/>
      <c r="G57" s="21" t="str">
        <f t="shared" si="12"/>
        <v/>
      </c>
      <c r="H57" s="21" t="str">
        <f t="shared" si="13"/>
        <v/>
      </c>
    </row>
    <row r="58" spans="2:8" x14ac:dyDescent="0.25">
      <c r="B58" s="36" t="s">
        <v>174</v>
      </c>
      <c r="C58" s="20"/>
      <c r="D58" s="21">
        <f t="shared" si="4"/>
        <v>1</v>
      </c>
      <c r="E58" s="21" t="str">
        <f t="shared" si="14"/>
        <v/>
      </c>
      <c r="F58" s="21"/>
      <c r="G58" s="21" t="str">
        <f t="shared" si="12"/>
        <v/>
      </c>
      <c r="H58" s="21" t="str">
        <f t="shared" si="13"/>
        <v/>
      </c>
    </row>
    <row r="59" spans="2:8" x14ac:dyDescent="0.25">
      <c r="B59" s="36" t="s">
        <v>175</v>
      </c>
      <c r="C59" s="20"/>
      <c r="D59" s="21">
        <f t="shared" si="4"/>
        <v>1</v>
      </c>
      <c r="E59" s="21" t="str">
        <f t="shared" si="14"/>
        <v/>
      </c>
      <c r="F59" s="21"/>
      <c r="G59" s="21" t="str">
        <f t="shared" si="12"/>
        <v/>
      </c>
      <c r="H59" s="21" t="str">
        <f t="shared" si="13"/>
        <v/>
      </c>
    </row>
    <row r="60" spans="2:8" x14ac:dyDescent="0.25">
      <c r="B60" s="36" t="s">
        <v>176</v>
      </c>
      <c r="C60" s="20"/>
      <c r="D60" s="21">
        <f t="shared" si="4"/>
        <v>1</v>
      </c>
      <c r="E60" s="21" t="str">
        <f t="shared" si="14"/>
        <v/>
      </c>
      <c r="F60" s="21"/>
      <c r="G60" s="21" t="str">
        <f t="shared" si="12"/>
        <v/>
      </c>
      <c r="H60" s="21" t="str">
        <f t="shared" si="13"/>
        <v/>
      </c>
    </row>
    <row r="61" spans="2:8" x14ac:dyDescent="0.25">
      <c r="B61" s="36" t="s">
        <v>177</v>
      </c>
      <c r="C61" s="20"/>
      <c r="D61" s="21">
        <f t="shared" si="4"/>
        <v>1</v>
      </c>
      <c r="E61" s="21" t="str">
        <f t="shared" si="14"/>
        <v/>
      </c>
      <c r="F61" s="21"/>
      <c r="G61" s="21" t="str">
        <f t="shared" si="12"/>
        <v/>
      </c>
      <c r="H61" s="21" t="str">
        <f t="shared" si="13"/>
        <v/>
      </c>
    </row>
    <row r="62" spans="2:8" x14ac:dyDescent="0.25">
      <c r="B62" s="36" t="s">
        <v>178</v>
      </c>
      <c r="C62" s="20"/>
      <c r="D62" s="21">
        <f t="shared" si="4"/>
        <v>1</v>
      </c>
      <c r="E62" s="21" t="str">
        <f t="shared" si="14"/>
        <v/>
      </c>
      <c r="F62" s="21"/>
      <c r="G62" s="21" t="str">
        <f t="shared" si="12"/>
        <v/>
      </c>
      <c r="H62" s="21" t="str">
        <f t="shared" si="13"/>
        <v/>
      </c>
    </row>
    <row r="63" spans="2:8" x14ac:dyDescent="0.25">
      <c r="B63" s="36" t="s">
        <v>179</v>
      </c>
      <c r="C63" s="20"/>
      <c r="D63" s="21">
        <f t="shared" si="4"/>
        <v>1</v>
      </c>
      <c r="E63" s="21" t="str">
        <f t="shared" si="14"/>
        <v/>
      </c>
      <c r="F63" s="21"/>
      <c r="G63" s="21" t="str">
        <f t="shared" si="12"/>
        <v/>
      </c>
      <c r="H63" s="21" t="str">
        <f t="shared" si="13"/>
        <v/>
      </c>
    </row>
    <row r="64" spans="2:8" x14ac:dyDescent="0.25">
      <c r="B64" s="36" t="s">
        <v>180</v>
      </c>
      <c r="C64" s="20"/>
      <c r="D64" s="21">
        <f t="shared" si="4"/>
        <v>1</v>
      </c>
      <c r="E64" s="21" t="str">
        <f t="shared" si="14"/>
        <v/>
      </c>
      <c r="F64" s="21"/>
      <c r="G64" s="21" t="str">
        <f t="shared" si="12"/>
        <v/>
      </c>
      <c r="H64" s="21" t="str">
        <f t="shared" si="13"/>
        <v/>
      </c>
    </row>
    <row r="65" spans="2:8" x14ac:dyDescent="0.25">
      <c r="B65" s="131" t="str">
        <f>'Fordeling efter plast'!B27</f>
        <v>Drikkebægre inkl. kapsler og låg</v>
      </c>
      <c r="C65" s="67"/>
      <c r="D65" s="66"/>
      <c r="E65" s="66"/>
      <c r="F65" s="66"/>
      <c r="G65" s="66"/>
      <c r="H65" s="135"/>
    </row>
    <row r="66" spans="2:8" x14ac:dyDescent="0.25">
      <c r="B66" s="36" t="s">
        <v>171</v>
      </c>
      <c r="C66" s="20"/>
      <c r="D66" s="21">
        <f t="shared" si="4"/>
        <v>1</v>
      </c>
      <c r="E66" s="21" t="str">
        <f>IFERROR(C66/SUM($C$66:$C$75)*$G$8*D66*1000,"")</f>
        <v/>
      </c>
      <c r="F66" s="21"/>
      <c r="G66" s="21" t="str">
        <f t="shared" ref="G66:G75" si="15">IFERROR(C66/SUM($C$66:$C$75)*$G$10*D66*1000,"")</f>
        <v/>
      </c>
      <c r="H66" s="21" t="str">
        <f t="shared" ref="H66:H75" si="16">IFERROR(C66/SUM($C$66:$C$75)*$G$11*D66*1000,"")</f>
        <v/>
      </c>
    </row>
    <row r="67" spans="2:8" x14ac:dyDescent="0.25">
      <c r="B67" s="36" t="s">
        <v>172</v>
      </c>
      <c r="C67" s="20"/>
      <c r="D67" s="21">
        <f t="shared" si="4"/>
        <v>1</v>
      </c>
      <c r="E67" s="21" t="str">
        <f t="shared" ref="E67:E75" si="17">IFERROR(C67/SUM($C$66:$C$75)*$G$8*D67*1000,"")</f>
        <v/>
      </c>
      <c r="F67" s="21"/>
      <c r="G67" s="21" t="str">
        <f t="shared" si="15"/>
        <v/>
      </c>
      <c r="H67" s="21" t="str">
        <f t="shared" si="16"/>
        <v/>
      </c>
    </row>
    <row r="68" spans="2:8" x14ac:dyDescent="0.25">
      <c r="B68" s="36" t="s">
        <v>173</v>
      </c>
      <c r="C68" s="20"/>
      <c r="D68" s="21">
        <f t="shared" si="4"/>
        <v>1</v>
      </c>
      <c r="E68" s="21" t="str">
        <f t="shared" si="17"/>
        <v/>
      </c>
      <c r="F68" s="21"/>
      <c r="G68" s="21" t="str">
        <f t="shared" si="15"/>
        <v/>
      </c>
      <c r="H68" s="21" t="str">
        <f t="shared" si="16"/>
        <v/>
      </c>
    </row>
    <row r="69" spans="2:8" x14ac:dyDescent="0.25">
      <c r="B69" s="36" t="s">
        <v>174</v>
      </c>
      <c r="C69" s="20"/>
      <c r="D69" s="21">
        <f t="shared" si="4"/>
        <v>1</v>
      </c>
      <c r="E69" s="21" t="str">
        <f t="shared" si="17"/>
        <v/>
      </c>
      <c r="F69" s="21"/>
      <c r="G69" s="21" t="str">
        <f t="shared" si="15"/>
        <v/>
      </c>
      <c r="H69" s="21" t="str">
        <f t="shared" si="16"/>
        <v/>
      </c>
    </row>
    <row r="70" spans="2:8" x14ac:dyDescent="0.25">
      <c r="B70" s="36" t="s">
        <v>175</v>
      </c>
      <c r="C70" s="20"/>
      <c r="D70" s="21">
        <f t="shared" si="4"/>
        <v>1</v>
      </c>
      <c r="E70" s="21" t="str">
        <f t="shared" si="17"/>
        <v/>
      </c>
      <c r="F70" s="21"/>
      <c r="G70" s="21" t="str">
        <f t="shared" si="15"/>
        <v/>
      </c>
      <c r="H70" s="21" t="str">
        <f t="shared" si="16"/>
        <v/>
      </c>
    </row>
    <row r="71" spans="2:8" x14ac:dyDescent="0.25">
      <c r="B71" s="36" t="s">
        <v>176</v>
      </c>
      <c r="C71" s="20"/>
      <c r="D71" s="21">
        <f t="shared" si="4"/>
        <v>1</v>
      </c>
      <c r="E71" s="21" t="str">
        <f t="shared" si="17"/>
        <v/>
      </c>
      <c r="F71" s="21"/>
      <c r="G71" s="21" t="str">
        <f t="shared" si="15"/>
        <v/>
      </c>
      <c r="H71" s="21" t="str">
        <f t="shared" si="16"/>
        <v/>
      </c>
    </row>
    <row r="72" spans="2:8" x14ac:dyDescent="0.25">
      <c r="B72" s="36" t="s">
        <v>177</v>
      </c>
      <c r="C72" s="20"/>
      <c r="D72" s="21">
        <f t="shared" si="4"/>
        <v>1</v>
      </c>
      <c r="E72" s="21" t="str">
        <f t="shared" si="17"/>
        <v/>
      </c>
      <c r="F72" s="21"/>
      <c r="G72" s="21" t="str">
        <f t="shared" si="15"/>
        <v/>
      </c>
      <c r="H72" s="21" t="str">
        <f t="shared" si="16"/>
        <v/>
      </c>
    </row>
    <row r="73" spans="2:8" x14ac:dyDescent="0.25">
      <c r="B73" s="36" t="s">
        <v>178</v>
      </c>
      <c r="C73" s="20"/>
      <c r="D73" s="21">
        <f t="shared" si="4"/>
        <v>1</v>
      </c>
      <c r="E73" s="21" t="str">
        <f t="shared" si="17"/>
        <v/>
      </c>
      <c r="F73" s="21"/>
      <c r="G73" s="21" t="str">
        <f t="shared" si="15"/>
        <v/>
      </c>
      <c r="H73" s="21" t="str">
        <f t="shared" si="16"/>
        <v/>
      </c>
    </row>
    <row r="74" spans="2:8" x14ac:dyDescent="0.25">
      <c r="B74" s="36" t="s">
        <v>179</v>
      </c>
      <c r="C74" s="20"/>
      <c r="D74" s="21">
        <f t="shared" si="4"/>
        <v>1</v>
      </c>
      <c r="E74" s="21" t="str">
        <f t="shared" si="17"/>
        <v/>
      </c>
      <c r="F74" s="21"/>
      <c r="G74" s="21" t="str">
        <f t="shared" si="15"/>
        <v/>
      </c>
      <c r="H74" s="21" t="str">
        <f t="shared" si="16"/>
        <v/>
      </c>
    </row>
    <row r="75" spans="2:8" x14ac:dyDescent="0.25">
      <c r="B75" s="36" t="s">
        <v>180</v>
      </c>
      <c r="C75" s="20"/>
      <c r="D75" s="21">
        <f t="shared" si="4"/>
        <v>1</v>
      </c>
      <c r="E75" s="21" t="str">
        <f t="shared" si="17"/>
        <v/>
      </c>
      <c r="F75" s="21"/>
      <c r="G75" s="21" t="str">
        <f t="shared" si="15"/>
        <v/>
      </c>
      <c r="H75" s="21" t="str">
        <f t="shared" si="16"/>
        <v/>
      </c>
    </row>
    <row r="76" spans="2:8" x14ac:dyDescent="0.25">
      <c r="B76" s="131" t="str">
        <f>'Fordeling efter plast'!B28</f>
        <v>Letvægtsplast  bæreposer</v>
      </c>
      <c r="C76" s="67"/>
      <c r="D76" s="66"/>
      <c r="E76" s="66"/>
      <c r="F76" s="66"/>
      <c r="G76" s="66"/>
      <c r="H76" s="135"/>
    </row>
    <row r="77" spans="2:8" x14ac:dyDescent="0.25">
      <c r="B77" s="36" t="s">
        <v>171</v>
      </c>
      <c r="C77" s="20"/>
      <c r="D77" s="21">
        <f t="shared" si="4"/>
        <v>1</v>
      </c>
      <c r="E77" s="21" t="str">
        <f>IFERROR(C77/SUM($C$77:$C$86)*$H$8*D77*1000,"")</f>
        <v/>
      </c>
      <c r="F77" s="21"/>
      <c r="G77" s="21" t="str">
        <f t="shared" ref="G77:G86" si="18">IFERROR(C77/SUM($C$77:$C$86)*$H$10*D77*1000,"")</f>
        <v/>
      </c>
      <c r="H77" s="21" t="str">
        <f t="shared" ref="H77:H86" si="19">IFERROR(C77/SUM($C$77:$C$86)*$H$11*D77*1000,"")</f>
        <v/>
      </c>
    </row>
    <row r="78" spans="2:8" x14ac:dyDescent="0.25">
      <c r="B78" s="36" t="s">
        <v>172</v>
      </c>
      <c r="C78" s="20"/>
      <c r="D78" s="21">
        <f t="shared" si="4"/>
        <v>1</v>
      </c>
      <c r="E78" s="21" t="str">
        <f t="shared" ref="E78:E86" si="20">IFERROR(C78/SUM($C$77:$C$86)*$H$8*D78*1000,"")</f>
        <v/>
      </c>
      <c r="F78" s="21"/>
      <c r="G78" s="21" t="str">
        <f t="shared" si="18"/>
        <v/>
      </c>
      <c r="H78" s="21" t="str">
        <f t="shared" si="19"/>
        <v/>
      </c>
    </row>
    <row r="79" spans="2:8" x14ac:dyDescent="0.25">
      <c r="B79" s="36" t="s">
        <v>173</v>
      </c>
      <c r="C79" s="20"/>
      <c r="D79" s="21">
        <f t="shared" si="4"/>
        <v>1</v>
      </c>
      <c r="E79" s="21" t="str">
        <f t="shared" si="20"/>
        <v/>
      </c>
      <c r="F79" s="21"/>
      <c r="G79" s="21" t="str">
        <f t="shared" si="18"/>
        <v/>
      </c>
      <c r="H79" s="21" t="str">
        <f t="shared" si="19"/>
        <v/>
      </c>
    </row>
    <row r="80" spans="2:8" x14ac:dyDescent="0.25">
      <c r="B80" s="36" t="s">
        <v>174</v>
      </c>
      <c r="C80" s="20"/>
      <c r="D80" s="21">
        <f t="shared" si="4"/>
        <v>1</v>
      </c>
      <c r="E80" s="21" t="str">
        <f t="shared" si="20"/>
        <v/>
      </c>
      <c r="F80" s="21"/>
      <c r="G80" s="21" t="str">
        <f t="shared" si="18"/>
        <v/>
      </c>
      <c r="H80" s="21" t="str">
        <f t="shared" si="19"/>
        <v/>
      </c>
    </row>
    <row r="81" spans="2:8" x14ac:dyDescent="0.25">
      <c r="B81" s="36" t="s">
        <v>175</v>
      </c>
      <c r="C81" s="130"/>
      <c r="D81" s="21">
        <f t="shared" si="4"/>
        <v>1</v>
      </c>
      <c r="E81" s="21" t="str">
        <f t="shared" si="20"/>
        <v/>
      </c>
      <c r="F81" s="21"/>
      <c r="G81" s="21" t="str">
        <f t="shared" si="18"/>
        <v/>
      </c>
      <c r="H81" s="21" t="str">
        <f t="shared" si="19"/>
        <v/>
      </c>
    </row>
    <row r="82" spans="2:8" x14ac:dyDescent="0.25">
      <c r="B82" s="36" t="s">
        <v>176</v>
      </c>
      <c r="C82" s="130"/>
      <c r="D82" s="21">
        <f t="shared" si="4"/>
        <v>1</v>
      </c>
      <c r="E82" s="21" t="str">
        <f t="shared" si="20"/>
        <v/>
      </c>
      <c r="F82" s="21"/>
      <c r="G82" s="21" t="str">
        <f t="shared" si="18"/>
        <v/>
      </c>
      <c r="H82" s="21" t="str">
        <f t="shared" si="19"/>
        <v/>
      </c>
    </row>
    <row r="83" spans="2:8" x14ac:dyDescent="0.25">
      <c r="B83" s="36" t="s">
        <v>177</v>
      </c>
      <c r="C83" s="130"/>
      <c r="D83" s="21">
        <f t="shared" si="4"/>
        <v>1</v>
      </c>
      <c r="E83" s="21" t="str">
        <f t="shared" si="20"/>
        <v/>
      </c>
      <c r="F83" s="21"/>
      <c r="G83" s="21" t="str">
        <f t="shared" si="18"/>
        <v/>
      </c>
      <c r="H83" s="21" t="str">
        <f t="shared" si="19"/>
        <v/>
      </c>
    </row>
    <row r="84" spans="2:8" x14ac:dyDescent="0.25">
      <c r="B84" s="36" t="s">
        <v>178</v>
      </c>
      <c r="C84" s="20"/>
      <c r="D84" s="21">
        <f t="shared" si="4"/>
        <v>1</v>
      </c>
      <c r="E84" s="21" t="str">
        <f t="shared" si="20"/>
        <v/>
      </c>
      <c r="F84" s="21"/>
      <c r="G84" s="21" t="str">
        <f t="shared" si="18"/>
        <v/>
      </c>
      <c r="H84" s="21" t="str">
        <f t="shared" si="19"/>
        <v/>
      </c>
    </row>
    <row r="85" spans="2:8" x14ac:dyDescent="0.25">
      <c r="B85" s="36" t="s">
        <v>179</v>
      </c>
      <c r="C85" s="20"/>
      <c r="D85" s="21">
        <f t="shared" si="4"/>
        <v>1</v>
      </c>
      <c r="E85" s="21" t="str">
        <f t="shared" si="20"/>
        <v/>
      </c>
      <c r="F85" s="21"/>
      <c r="G85" s="21" t="str">
        <f t="shared" si="18"/>
        <v/>
      </c>
      <c r="H85" s="21" t="str">
        <f t="shared" si="19"/>
        <v/>
      </c>
    </row>
    <row r="86" spans="2:8" x14ac:dyDescent="0.25">
      <c r="B86" s="36" t="s">
        <v>180</v>
      </c>
      <c r="C86" s="20"/>
      <c r="D86" s="21">
        <f t="shared" si="4"/>
        <v>1</v>
      </c>
      <c r="E86" s="21" t="str">
        <f t="shared" si="20"/>
        <v/>
      </c>
      <c r="F86" s="21"/>
      <c r="G86" s="21" t="str">
        <f t="shared" si="18"/>
        <v/>
      </c>
      <c r="H86" s="21" t="str">
        <f t="shared" si="19"/>
        <v/>
      </c>
    </row>
    <row r="87" spans="2:8" x14ac:dyDescent="0.25">
      <c r="B87" s="131" t="str">
        <f>'Fordeling efter plast'!B29</f>
        <v>Vådservietter</v>
      </c>
      <c r="C87" s="67"/>
      <c r="D87" s="66"/>
      <c r="E87" s="66"/>
      <c r="F87" s="66"/>
      <c r="G87" s="133"/>
      <c r="H87" s="134"/>
    </row>
    <row r="88" spans="2:8" x14ac:dyDescent="0.25">
      <c r="B88" s="36" t="s">
        <v>171</v>
      </c>
      <c r="C88" s="20"/>
      <c r="D88" s="21">
        <f t="shared" ref="D88:D108" si="21">IF($C$15="Ja",1,1)</f>
        <v>1</v>
      </c>
      <c r="E88" s="21" t="str">
        <f>IFERROR(C88/SUM($C$88:$C$97)*$I$8*D88*1000,"")</f>
        <v/>
      </c>
      <c r="F88" s="21"/>
      <c r="G88" s="21" t="str">
        <f t="shared" ref="G88:G97" si="22">IFERROR(C88/SUM($C$88:$C$97)*$I$10*D88*1000,"")</f>
        <v/>
      </c>
      <c r="H88" s="21" t="str">
        <f t="shared" ref="H88:H97" si="23">IFERROR(C88/SUM($C$88:$C$97)*$I$11*D88*1000,"")</f>
        <v/>
      </c>
    </row>
    <row r="89" spans="2:8" x14ac:dyDescent="0.25">
      <c r="B89" s="36" t="s">
        <v>172</v>
      </c>
      <c r="C89" s="20"/>
      <c r="D89" s="21">
        <f t="shared" si="21"/>
        <v>1</v>
      </c>
      <c r="E89" s="21" t="str">
        <f t="shared" ref="E89:E97" si="24">IFERROR(C89/SUM($C$88:$C$97)*$I$8*D89*1000,"")</f>
        <v/>
      </c>
      <c r="F89" s="21"/>
      <c r="G89" s="21" t="str">
        <f t="shared" si="22"/>
        <v/>
      </c>
      <c r="H89" s="21" t="str">
        <f t="shared" si="23"/>
        <v/>
      </c>
    </row>
    <row r="90" spans="2:8" x14ac:dyDescent="0.25">
      <c r="B90" s="36" t="s">
        <v>173</v>
      </c>
      <c r="C90" s="20"/>
      <c r="D90" s="21">
        <f t="shared" si="21"/>
        <v>1</v>
      </c>
      <c r="E90" s="21" t="str">
        <f t="shared" si="24"/>
        <v/>
      </c>
      <c r="F90" s="21"/>
      <c r="G90" s="21" t="str">
        <f t="shared" si="22"/>
        <v/>
      </c>
      <c r="H90" s="21" t="str">
        <f t="shared" si="23"/>
        <v/>
      </c>
    </row>
    <row r="91" spans="2:8" x14ac:dyDescent="0.25">
      <c r="B91" s="36" t="s">
        <v>174</v>
      </c>
      <c r="C91" s="20"/>
      <c r="D91" s="21">
        <f t="shared" si="21"/>
        <v>1</v>
      </c>
      <c r="E91" s="21" t="str">
        <f t="shared" si="24"/>
        <v/>
      </c>
      <c r="F91" s="21"/>
      <c r="G91" s="21" t="str">
        <f t="shared" si="22"/>
        <v/>
      </c>
      <c r="H91" s="21" t="str">
        <f t="shared" si="23"/>
        <v/>
      </c>
    </row>
    <row r="92" spans="2:8" x14ac:dyDescent="0.25">
      <c r="B92" s="36" t="s">
        <v>175</v>
      </c>
      <c r="C92" s="20"/>
      <c r="D92" s="21">
        <f t="shared" si="21"/>
        <v>1</v>
      </c>
      <c r="E92" s="21" t="str">
        <f t="shared" si="24"/>
        <v/>
      </c>
      <c r="F92" s="21"/>
      <c r="G92" s="21" t="str">
        <f t="shared" si="22"/>
        <v/>
      </c>
      <c r="H92" s="21" t="str">
        <f t="shared" si="23"/>
        <v/>
      </c>
    </row>
    <row r="93" spans="2:8" x14ac:dyDescent="0.25">
      <c r="B93" s="36" t="s">
        <v>176</v>
      </c>
      <c r="C93" s="20"/>
      <c r="D93" s="21">
        <f t="shared" si="21"/>
        <v>1</v>
      </c>
      <c r="E93" s="21" t="str">
        <f t="shared" si="24"/>
        <v/>
      </c>
      <c r="F93" s="21"/>
      <c r="G93" s="21" t="str">
        <f t="shared" si="22"/>
        <v/>
      </c>
      <c r="H93" s="21" t="str">
        <f t="shared" si="23"/>
        <v/>
      </c>
    </row>
    <row r="94" spans="2:8" x14ac:dyDescent="0.25">
      <c r="B94" s="36" t="s">
        <v>177</v>
      </c>
      <c r="C94" s="20"/>
      <c r="D94" s="21">
        <f t="shared" si="21"/>
        <v>1</v>
      </c>
      <c r="E94" s="21" t="str">
        <f t="shared" si="24"/>
        <v/>
      </c>
      <c r="F94" s="21"/>
      <c r="G94" s="21" t="str">
        <f t="shared" si="22"/>
        <v/>
      </c>
      <c r="H94" s="21" t="str">
        <f t="shared" si="23"/>
        <v/>
      </c>
    </row>
    <row r="95" spans="2:8" x14ac:dyDescent="0.25">
      <c r="B95" s="36" t="s">
        <v>178</v>
      </c>
      <c r="C95" s="20"/>
      <c r="D95" s="21">
        <f t="shared" si="21"/>
        <v>1</v>
      </c>
      <c r="E95" s="21" t="str">
        <f t="shared" si="24"/>
        <v/>
      </c>
      <c r="F95" s="21"/>
      <c r="G95" s="21" t="str">
        <f t="shared" si="22"/>
        <v/>
      </c>
      <c r="H95" s="21" t="str">
        <f t="shared" si="23"/>
        <v/>
      </c>
    </row>
    <row r="96" spans="2:8" x14ac:dyDescent="0.25">
      <c r="B96" s="36" t="s">
        <v>179</v>
      </c>
      <c r="C96" s="20"/>
      <c r="D96" s="21">
        <f t="shared" si="21"/>
        <v>1</v>
      </c>
      <c r="E96" s="21" t="str">
        <f t="shared" si="24"/>
        <v/>
      </c>
      <c r="F96" s="21"/>
      <c r="G96" s="21" t="str">
        <f t="shared" si="22"/>
        <v/>
      </c>
      <c r="H96" s="21" t="str">
        <f t="shared" si="23"/>
        <v/>
      </c>
    </row>
    <row r="97" spans="2:8" x14ac:dyDescent="0.25">
      <c r="B97" s="36" t="s">
        <v>180</v>
      </c>
      <c r="C97" s="20"/>
      <c r="D97" s="21">
        <f t="shared" si="21"/>
        <v>1</v>
      </c>
      <c r="E97" s="21" t="str">
        <f t="shared" si="24"/>
        <v/>
      </c>
      <c r="F97" s="21"/>
      <c r="G97" s="21" t="str">
        <f t="shared" si="22"/>
        <v/>
      </c>
      <c r="H97" s="21" t="str">
        <f t="shared" si="23"/>
        <v/>
      </c>
    </row>
    <row r="98" spans="2:8" x14ac:dyDescent="0.25">
      <c r="B98" s="131" t="str">
        <f>'Fordeling efter plast'!B30</f>
        <v>Balloner</v>
      </c>
      <c r="C98" s="67"/>
      <c r="D98" s="66"/>
      <c r="E98" s="66"/>
      <c r="F98" s="66"/>
      <c r="G98" s="66"/>
      <c r="H98" s="132"/>
    </row>
    <row r="99" spans="2:8" x14ac:dyDescent="0.25">
      <c r="B99" s="36" t="s">
        <v>171</v>
      </c>
      <c r="C99" s="20"/>
      <c r="D99" s="21">
        <f t="shared" si="21"/>
        <v>1</v>
      </c>
      <c r="E99" s="21" t="str">
        <f>IFERROR(C99/SUM($C$99:$C$108)*$J$8*D99*1000,"")</f>
        <v/>
      </c>
      <c r="F99" s="21"/>
      <c r="G99" s="21" t="str">
        <f t="shared" ref="G99:G108" si="25">IFERROR(C99/SUM($C$99:$C$108)*$J$10*D99*1000,"")</f>
        <v/>
      </c>
      <c r="H99" s="21" t="str">
        <f t="shared" ref="H99:H108" si="26">IFERROR(C99/SUM($C$99:$C$108)*$J$11*D99*1000,"")</f>
        <v/>
      </c>
    </row>
    <row r="100" spans="2:8" x14ac:dyDescent="0.25">
      <c r="B100" s="36" t="s">
        <v>172</v>
      </c>
      <c r="C100" s="20"/>
      <c r="D100" s="21">
        <f t="shared" si="21"/>
        <v>1</v>
      </c>
      <c r="E100" s="21" t="str">
        <f t="shared" ref="E100:E108" si="27">IFERROR(C100/SUM($C$99:$C$108)*$J$8*D100*1000,"")</f>
        <v/>
      </c>
      <c r="F100" s="21"/>
      <c r="G100" s="21" t="str">
        <f t="shared" si="25"/>
        <v/>
      </c>
      <c r="H100" s="21" t="str">
        <f t="shared" si="26"/>
        <v/>
      </c>
    </row>
    <row r="101" spans="2:8" x14ac:dyDescent="0.25">
      <c r="B101" s="36" t="s">
        <v>173</v>
      </c>
      <c r="C101" s="20"/>
      <c r="D101" s="21">
        <f t="shared" si="21"/>
        <v>1</v>
      </c>
      <c r="E101" s="21" t="str">
        <f t="shared" si="27"/>
        <v/>
      </c>
      <c r="F101" s="21"/>
      <c r="G101" s="21" t="str">
        <f t="shared" si="25"/>
        <v/>
      </c>
      <c r="H101" s="21" t="str">
        <f t="shared" si="26"/>
        <v/>
      </c>
    </row>
    <row r="102" spans="2:8" x14ac:dyDescent="0.25">
      <c r="B102" s="36" t="s">
        <v>174</v>
      </c>
      <c r="C102" s="20"/>
      <c r="D102" s="21">
        <f t="shared" si="21"/>
        <v>1</v>
      </c>
      <c r="E102" s="21" t="str">
        <f t="shared" si="27"/>
        <v/>
      </c>
      <c r="F102" s="21"/>
      <c r="G102" s="21" t="str">
        <f t="shared" si="25"/>
        <v/>
      </c>
      <c r="H102" s="21" t="str">
        <f t="shared" si="26"/>
        <v/>
      </c>
    </row>
    <row r="103" spans="2:8" x14ac:dyDescent="0.25">
      <c r="B103" s="36" t="s">
        <v>175</v>
      </c>
      <c r="C103" s="20"/>
      <c r="D103" s="21">
        <f t="shared" si="21"/>
        <v>1</v>
      </c>
      <c r="E103" s="21" t="str">
        <f t="shared" si="27"/>
        <v/>
      </c>
      <c r="F103" s="21"/>
      <c r="G103" s="21" t="str">
        <f t="shared" si="25"/>
        <v/>
      </c>
      <c r="H103" s="21" t="str">
        <f t="shared" si="26"/>
        <v/>
      </c>
    </row>
    <row r="104" spans="2:8" x14ac:dyDescent="0.25">
      <c r="B104" s="36" t="s">
        <v>176</v>
      </c>
      <c r="C104" s="20"/>
      <c r="D104" s="129">
        <f t="shared" si="21"/>
        <v>1</v>
      </c>
      <c r="E104" s="21" t="str">
        <f t="shared" si="27"/>
        <v/>
      </c>
      <c r="F104" s="21"/>
      <c r="G104" s="21" t="str">
        <f t="shared" si="25"/>
        <v/>
      </c>
      <c r="H104" s="21" t="str">
        <f t="shared" si="26"/>
        <v/>
      </c>
    </row>
    <row r="105" spans="2:8" x14ac:dyDescent="0.25">
      <c r="B105" s="36" t="s">
        <v>177</v>
      </c>
      <c r="C105" s="6"/>
      <c r="D105" s="129">
        <f t="shared" si="21"/>
        <v>1</v>
      </c>
      <c r="E105" s="6" t="str">
        <f t="shared" si="27"/>
        <v/>
      </c>
      <c r="F105" s="6"/>
      <c r="G105" s="6" t="str">
        <f t="shared" si="25"/>
        <v/>
      </c>
      <c r="H105" s="6" t="str">
        <f t="shared" si="26"/>
        <v/>
      </c>
    </row>
    <row r="106" spans="2:8" x14ac:dyDescent="0.25">
      <c r="B106" s="36" t="s">
        <v>178</v>
      </c>
      <c r="C106" s="6"/>
      <c r="D106" s="129">
        <f t="shared" si="21"/>
        <v>1</v>
      </c>
      <c r="E106" s="6" t="str">
        <f t="shared" si="27"/>
        <v/>
      </c>
      <c r="F106" s="6"/>
      <c r="G106" s="6" t="str">
        <f t="shared" si="25"/>
        <v/>
      </c>
      <c r="H106" s="6" t="str">
        <f t="shared" si="26"/>
        <v/>
      </c>
    </row>
    <row r="107" spans="2:8" x14ac:dyDescent="0.25">
      <c r="B107" s="36" t="s">
        <v>179</v>
      </c>
      <c r="C107" s="6"/>
      <c r="D107" s="129">
        <f t="shared" si="21"/>
        <v>1</v>
      </c>
      <c r="E107" s="6" t="str">
        <f t="shared" si="27"/>
        <v/>
      </c>
      <c r="F107" s="6"/>
      <c r="G107" s="6" t="str">
        <f t="shared" si="25"/>
        <v/>
      </c>
      <c r="H107" s="6" t="str">
        <f t="shared" si="26"/>
        <v/>
      </c>
    </row>
    <row r="108" spans="2:8" x14ac:dyDescent="0.25">
      <c r="B108" s="36" t="s">
        <v>180</v>
      </c>
      <c r="C108" s="6"/>
      <c r="D108" s="129">
        <f t="shared" si="21"/>
        <v>1</v>
      </c>
      <c r="E108" s="6" t="str">
        <f t="shared" si="27"/>
        <v/>
      </c>
      <c r="F108" s="6"/>
      <c r="G108" s="6" t="str">
        <f t="shared" si="25"/>
        <v/>
      </c>
      <c r="H108" s="6" t="str">
        <f t="shared" si="26"/>
        <v/>
      </c>
    </row>
  </sheetData>
  <mergeCells count="4">
    <mergeCell ref="B19:B20"/>
    <mergeCell ref="C19:D19"/>
    <mergeCell ref="B6:B7"/>
    <mergeCell ref="C6:K6"/>
  </mergeCells>
  <phoneticPr fontId="18" type="noConversion"/>
  <dataValidations count="1">
    <dataValidation type="list" allowBlank="1" showInputMessage="1" showErrorMessage="1" sqref="C15">
      <formula1>"Ja,Nej"</formula1>
    </dataValidation>
  </dataValidations>
  <pageMargins left="0.7" right="0.7" top="0.75" bottom="0.75" header="0.3" footer="0.3"/>
  <pageSetup paperSize="9" orientation="portrait" verticalDpi="0" r:id="rId1"/>
  <headerFooter>
    <oddFooter>&amp;LRM2644Z3JAHN-1315876101-408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9"/>
  <sheetViews>
    <sheetView showRuler="0" zoomScaleNormal="100" zoomScaleSheetLayoutView="400" zoomScalePageLayoutView="55" workbookViewId="0">
      <selection activeCell="E3" sqref="E3"/>
    </sheetView>
  </sheetViews>
  <sheetFormatPr defaultColWidth="10.42578125" defaultRowHeight="12.75" customHeight="1" x14ac:dyDescent="0.2"/>
  <cols>
    <col min="1" max="1" width="5" style="25" customWidth="1"/>
    <col min="2" max="2" width="19.140625" style="25" customWidth="1"/>
    <col min="3" max="3" width="16.28515625" style="25" bestFit="1" customWidth="1"/>
    <col min="4" max="4" width="23.42578125" style="25" bestFit="1" customWidth="1"/>
    <col min="5" max="5" width="30.5703125" style="25" customWidth="1"/>
    <col min="6" max="6" width="26" style="25" customWidth="1"/>
    <col min="7" max="16384" width="10.42578125" style="25"/>
  </cols>
  <sheetData>
    <row r="1" spans="2:6" s="24" customFormat="1" ht="37.5" customHeight="1" x14ac:dyDescent="0.2">
      <c r="B1" s="28" t="s">
        <v>36</v>
      </c>
    </row>
    <row r="3" spans="2:6" ht="36.75" customHeight="1" x14ac:dyDescent="0.2">
      <c r="B3" s="55" t="s">
        <v>181</v>
      </c>
      <c r="C3" s="56" t="s">
        <v>182</v>
      </c>
    </row>
    <row r="4" spans="2:6" ht="12.75" customHeight="1" x14ac:dyDescent="0.2">
      <c r="B4" s="31" t="s">
        <v>183</v>
      </c>
      <c r="C4" s="158">
        <v>0.5</v>
      </c>
    </row>
    <row r="5" spans="2:6" ht="12.75" customHeight="1" x14ac:dyDescent="0.2">
      <c r="B5" s="31" t="s">
        <v>184</v>
      </c>
      <c r="C5" s="158">
        <v>0.5</v>
      </c>
    </row>
    <row r="6" spans="2:6" ht="12.75" customHeight="1" x14ac:dyDescent="0.2">
      <c r="B6" s="30" t="s">
        <v>43</v>
      </c>
      <c r="C6" s="30">
        <f>SUM(C4:C5)</f>
        <v>1</v>
      </c>
      <c r="D6" s="25" t="str">
        <f>IF(SUM(C4:C5)&lt;&gt;1,"Vægt summerer ikke til 1","")</f>
        <v/>
      </c>
    </row>
    <row r="9" spans="2:6" s="53" customFormat="1" ht="30" customHeight="1" x14ac:dyDescent="0.25">
      <c r="B9" s="51" t="s">
        <v>28</v>
      </c>
      <c r="C9" s="52" t="s">
        <v>35</v>
      </c>
      <c r="D9" s="52" t="s">
        <v>185</v>
      </c>
      <c r="E9" s="52" t="s">
        <v>186</v>
      </c>
      <c r="F9" s="52" t="s">
        <v>187</v>
      </c>
    </row>
    <row r="10" spans="2:6" ht="12.75" customHeight="1" x14ac:dyDescent="0.25">
      <c r="B10" s="39" t="s">
        <v>188</v>
      </c>
      <c r="C10" s="37">
        <f>IFERROR(VLOOKUP(B10,Boligforhold!$A$3:$M$119,9,FALSE),"")</f>
        <v>5791955</v>
      </c>
      <c r="D10" s="54">
        <f>E10*$C$4+F10*$C$5</f>
        <v>1</v>
      </c>
      <c r="E10" s="38">
        <f>IFERROR(VLOOKUP(B10,Boligforhold!$A$3:$M$119,13,FALSE),"")</f>
        <v>1</v>
      </c>
      <c r="F10" s="32">
        <f>IFERROR(VLOOKUP(B10,Pendling!$A$3:$G$102,7,FALSE),"")</f>
        <v>1</v>
      </c>
    </row>
    <row r="11" spans="2:6" ht="12.75" customHeight="1" x14ac:dyDescent="0.25">
      <c r="B11" s="36" t="s">
        <v>44</v>
      </c>
      <c r="C11" s="37">
        <f>IFERROR(VLOOKUP(B11,Boligforhold!$A$3:$M$119,9,FALSE),"")</f>
        <v>626372</v>
      </c>
      <c r="D11" s="54">
        <f t="shared" ref="D11:D74" si="0">E11*$C$4+F11*$C$5</f>
        <v>1.8978695723620067</v>
      </c>
      <c r="E11" s="38">
        <f>IFERROR(VLOOKUP(B11,Boligforhold!$A$3:$M$119,13,FALSE),"")</f>
        <v>2.6482604766542068</v>
      </c>
      <c r="F11" s="32">
        <f>IFERROR(VLOOKUP(B11,Pendling!$A$3:$G$102,7,FALSE),"")</f>
        <v>1.1474786680698068</v>
      </c>
    </row>
    <row r="12" spans="2:6" ht="12.75" customHeight="1" x14ac:dyDescent="0.25">
      <c r="B12" s="36" t="s">
        <v>45</v>
      </c>
      <c r="C12" s="37">
        <f>IFERROR(VLOOKUP(B12,Boligforhold!$A$3:$M$119,9,FALSE),"")</f>
        <v>103786</v>
      </c>
      <c r="D12" s="54">
        <f t="shared" si="0"/>
        <v>1.8865356200369368</v>
      </c>
      <c r="E12" s="38">
        <f>IFERROR(VLOOKUP(B12,Boligforhold!$A$3:$M$119,13,FALSE),"")</f>
        <v>2.863863967921779</v>
      </c>
      <c r="F12" s="32">
        <f>IFERROR(VLOOKUP(B12,Pendling!$A$3:$G$102,7,FALSE),"")</f>
        <v>0.90920727215209451</v>
      </c>
    </row>
    <row r="13" spans="2:6" ht="12.75" customHeight="1" x14ac:dyDescent="0.25">
      <c r="B13" s="36" t="s">
        <v>46</v>
      </c>
      <c r="C13" s="37">
        <f>IFERROR(VLOOKUP(B13,Boligforhold!$A$3:$M$119,9,FALSE),"")</f>
        <v>14375</v>
      </c>
      <c r="D13" s="54">
        <f t="shared" si="0"/>
        <v>0.58882397275642973</v>
      </c>
      <c r="E13" s="38">
        <f>IFERROR(VLOOKUP(B13,Boligforhold!$A$3:$M$119,13,FALSE),"")</f>
        <v>0.45356963722369681</v>
      </c>
      <c r="F13" s="32">
        <f>IFERROR(VLOOKUP(B13,Pendling!$A$3:$G$102,7,FALSE),"")</f>
        <v>0.72407830828916253</v>
      </c>
    </row>
    <row r="14" spans="2:6" ht="12.75" customHeight="1" x14ac:dyDescent="0.25">
      <c r="B14" s="36" t="s">
        <v>47</v>
      </c>
      <c r="C14" s="37">
        <f>IFERROR(VLOOKUP(B14,Boligforhold!$A$3:$M$119,9,FALSE),"")</f>
        <v>42802</v>
      </c>
      <c r="D14" s="54">
        <f t="shared" si="0"/>
        <v>1.2077877686603771</v>
      </c>
      <c r="E14" s="38">
        <f>IFERROR(VLOOKUP(B14,Boligforhold!$A$3:$M$119,13,FALSE),"")</f>
        <v>1.2857437620054673</v>
      </c>
      <c r="F14" s="32">
        <f>IFERROR(VLOOKUP(B14,Pendling!$A$3:$G$102,7,FALSE),"")</f>
        <v>1.1298317753152869</v>
      </c>
    </row>
    <row r="15" spans="2:6" ht="12.75" customHeight="1" x14ac:dyDescent="0.25">
      <c r="B15" s="36" t="s">
        <v>48</v>
      </c>
      <c r="C15" s="37">
        <f>IFERROR(VLOOKUP(B15,Boligforhold!$A$3:$M$119,9,FALSE),"")</f>
        <v>27623</v>
      </c>
      <c r="D15" s="54">
        <f t="shared" si="0"/>
        <v>1.0724107413817072</v>
      </c>
      <c r="E15" s="38">
        <f>IFERROR(VLOOKUP(B15,Boligforhold!$A$3:$M$119,13,FALSE),"")</f>
        <v>0.89127755524390051</v>
      </c>
      <c r="F15" s="32">
        <f>IFERROR(VLOOKUP(B15,Pendling!$A$3:$G$102,7,FALSE),"")</f>
        <v>1.2535439275195142</v>
      </c>
    </row>
    <row r="16" spans="2:6" ht="12.75" customHeight="1" x14ac:dyDescent="0.25">
      <c r="B16" s="36" t="s">
        <v>49</v>
      </c>
      <c r="C16" s="37">
        <f>IFERROR(VLOOKUP(B16,Boligforhold!$A$3:$M$119,9,FALSE),"")</f>
        <v>48506</v>
      </c>
      <c r="D16" s="54">
        <f t="shared" si="0"/>
        <v>1.3726000533724307</v>
      </c>
      <c r="E16" s="38">
        <f>IFERROR(VLOOKUP(B16,Boligforhold!$A$3:$M$119,13,FALSE),"")</f>
        <v>1.3537915239401304</v>
      </c>
      <c r="F16" s="32">
        <f>IFERROR(VLOOKUP(B16,Pendling!$A$3:$G$102,7,FALSE),"")</f>
        <v>1.3914085828047313</v>
      </c>
    </row>
    <row r="17" spans="2:6" ht="12.75" customHeight="1" x14ac:dyDescent="0.25">
      <c r="B17" s="36" t="s">
        <v>50</v>
      </c>
      <c r="C17" s="37">
        <f>IFERROR(VLOOKUP(B17,Boligforhold!$A$3:$M$119,9,FALSE),"")</f>
        <v>34942</v>
      </c>
      <c r="D17" s="54">
        <f t="shared" si="0"/>
        <v>1.4698268803767909</v>
      </c>
      <c r="E17" s="38">
        <f>IFERROR(VLOOKUP(B17,Boligforhold!$A$3:$M$119,13,FALSE),"")</f>
        <v>1.723714891485107</v>
      </c>
      <c r="F17" s="32">
        <f>IFERROR(VLOOKUP(B17,Pendling!$A$3:$G$102,7,FALSE),"")</f>
        <v>1.2159388692684749</v>
      </c>
    </row>
    <row r="18" spans="2:6" ht="12.75" customHeight="1" x14ac:dyDescent="0.25">
      <c r="B18" s="36" t="s">
        <v>51</v>
      </c>
      <c r="C18" s="37">
        <f>IFERROR(VLOOKUP(B18,Boligforhold!$A$3:$M$119,9,FALSE),"")</f>
        <v>74524</v>
      </c>
      <c r="D18" s="54">
        <f t="shared" si="0"/>
        <v>1.2738768237099001</v>
      </c>
      <c r="E18" s="38">
        <f>IFERROR(VLOOKUP(B18,Boligforhold!$A$3:$M$119,13,FALSE),"")</f>
        <v>1.5117352981050445</v>
      </c>
      <c r="F18" s="32">
        <f>IFERROR(VLOOKUP(B18,Pendling!$A$3:$G$102,7,FALSE),"")</f>
        <v>1.0360183493147557</v>
      </c>
    </row>
    <row r="19" spans="2:6" ht="12.75" customHeight="1" x14ac:dyDescent="0.25">
      <c r="B19" s="36" t="s">
        <v>52</v>
      </c>
      <c r="C19" s="37">
        <f>IFERROR(VLOOKUP(B19,Boligforhold!$A$3:$M$119,9,FALSE),"")</f>
        <v>69022</v>
      </c>
      <c r="D19" s="54">
        <f t="shared" si="0"/>
        <v>1.275359148798036</v>
      </c>
      <c r="E19" s="38">
        <f>IFERROR(VLOOKUP(B19,Boligforhold!$A$3:$M$119,13,FALSE),"")</f>
        <v>1.4123301765565952</v>
      </c>
      <c r="F19" s="32">
        <f>IFERROR(VLOOKUP(B19,Pendling!$A$3:$G$102,7,FALSE),"")</f>
        <v>1.1383881210394766</v>
      </c>
    </row>
    <row r="20" spans="2:6" ht="12.75" customHeight="1" x14ac:dyDescent="0.25">
      <c r="B20" s="36" t="s">
        <v>53</v>
      </c>
      <c r="C20" s="37">
        <f>IFERROR(VLOOKUP(B20,Boligforhold!$A$3:$M$119,9,FALSE),"")</f>
        <v>22838</v>
      </c>
      <c r="D20" s="54">
        <f t="shared" si="0"/>
        <v>1.4938251701232848</v>
      </c>
      <c r="E20" s="38">
        <f>IFERROR(VLOOKUP(B20,Boligforhold!$A$3:$M$119,13,FALSE),"")</f>
        <v>1.5282212352303655</v>
      </c>
      <c r="F20" s="32">
        <f>IFERROR(VLOOKUP(B20,Pendling!$A$3:$G$102,7,FALSE),"")</f>
        <v>1.459429105016204</v>
      </c>
    </row>
    <row r="21" spans="2:6" ht="12.75" customHeight="1" x14ac:dyDescent="0.25">
      <c r="B21" s="36" t="s">
        <v>54</v>
      </c>
      <c r="C21" s="37">
        <f>IFERROR(VLOOKUP(B21,Boligforhold!$A$3:$M$119,9,FALSE),"")</f>
        <v>28744</v>
      </c>
      <c r="D21" s="54">
        <f t="shared" si="0"/>
        <v>1.2053071592623095</v>
      </c>
      <c r="E21" s="38">
        <f>IFERROR(VLOOKUP(B21,Boligforhold!$A$3:$M$119,13,FALSE),"")</f>
        <v>1.1030981249754703</v>
      </c>
      <c r="F21" s="32">
        <f>IFERROR(VLOOKUP(B21,Pendling!$A$3:$G$102,7,FALSE),"")</f>
        <v>1.3075161935491488</v>
      </c>
    </row>
    <row r="22" spans="2:6" ht="12.75" customHeight="1" x14ac:dyDescent="0.25">
      <c r="B22" s="36" t="s">
        <v>55</v>
      </c>
      <c r="C22" s="37">
        <f>IFERROR(VLOOKUP(B22,Boligforhold!$A$3:$M$119,9,FALSE),"")</f>
        <v>53352</v>
      </c>
      <c r="D22" s="54">
        <f t="shared" si="0"/>
        <v>1.2163592244146026</v>
      </c>
      <c r="E22" s="38">
        <f>IFERROR(VLOOKUP(B22,Boligforhold!$A$3:$M$119,13,FALSE),"")</f>
        <v>1.3731625433512324</v>
      </c>
      <c r="F22" s="32">
        <f>IFERROR(VLOOKUP(B22,Pendling!$A$3:$G$102,7,FALSE),"")</f>
        <v>1.0595559054779726</v>
      </c>
    </row>
    <row r="23" spans="2:6" ht="12.75" customHeight="1" x14ac:dyDescent="0.25">
      <c r="B23" s="36" t="s">
        <v>56</v>
      </c>
      <c r="C23" s="37">
        <f>IFERROR(VLOOKUP(B23,Boligforhold!$A$3:$M$119,9,FALSE),"")</f>
        <v>50539</v>
      </c>
      <c r="D23" s="54">
        <f t="shared" si="0"/>
        <v>1.2525659487611074</v>
      </c>
      <c r="E23" s="38">
        <f>IFERROR(VLOOKUP(B23,Boligforhold!$A$3:$M$119,13,FALSE),"")</f>
        <v>1.2368012527249572</v>
      </c>
      <c r="F23" s="32">
        <f>IFERROR(VLOOKUP(B23,Pendling!$A$3:$G$102,7,FALSE),"")</f>
        <v>1.2683306447972575</v>
      </c>
    </row>
    <row r="24" spans="2:6" ht="12.75" customHeight="1" x14ac:dyDescent="0.25">
      <c r="B24" s="36" t="s">
        <v>57</v>
      </c>
      <c r="C24" s="37">
        <f>IFERROR(VLOOKUP(B24,Boligforhold!$A$3:$M$119,9,FALSE),"")</f>
        <v>22826</v>
      </c>
      <c r="D24" s="54">
        <f t="shared" si="0"/>
        <v>1.2569700231348504</v>
      </c>
      <c r="E24" s="38">
        <f>IFERROR(VLOOKUP(B24,Boligforhold!$A$3:$M$119,13,FALSE),"")</f>
        <v>1.6004015327988041</v>
      </c>
      <c r="F24" s="32">
        <f>IFERROR(VLOOKUP(B24,Pendling!$A$3:$G$102,7,FALSE),"")</f>
        <v>0.91353851347089665</v>
      </c>
    </row>
    <row r="25" spans="2:6" ht="12.75" customHeight="1" x14ac:dyDescent="0.25">
      <c r="B25" s="36" t="s">
        <v>58</v>
      </c>
      <c r="C25" s="37">
        <f>IFERROR(VLOOKUP(B25,Boligforhold!$A$3:$M$119,9,FALSE),"")</f>
        <v>55997</v>
      </c>
      <c r="D25" s="54">
        <f t="shared" si="0"/>
        <v>1.2170584408355727</v>
      </c>
      <c r="E25" s="38">
        <f>IFERROR(VLOOKUP(B25,Boligforhold!$A$3:$M$119,13,FALSE),"")</f>
        <v>1.2928499246112026</v>
      </c>
      <c r="F25" s="32">
        <f>IFERROR(VLOOKUP(B25,Pendling!$A$3:$G$102,7,FALSE),"")</f>
        <v>1.141266957059943</v>
      </c>
    </row>
    <row r="26" spans="2:6" ht="12.75" customHeight="1" x14ac:dyDescent="0.25">
      <c r="B26" s="36" t="s">
        <v>59</v>
      </c>
      <c r="C26" s="37">
        <f>IFERROR(VLOOKUP(B26,Boligforhold!$A$3:$M$119,9,FALSE),"")</f>
        <v>40519</v>
      </c>
      <c r="D26" s="54">
        <f t="shared" si="0"/>
        <v>1.1984018718080591</v>
      </c>
      <c r="E26" s="38">
        <f>IFERROR(VLOOKUP(B26,Boligforhold!$A$3:$M$119,13,FALSE),"")</f>
        <v>1.4673060698548264</v>
      </c>
      <c r="F26" s="32">
        <f>IFERROR(VLOOKUP(B26,Pendling!$A$3:$G$102,7,FALSE),"")</f>
        <v>0.92949767376129211</v>
      </c>
    </row>
    <row r="27" spans="2:6" ht="12.75" customHeight="1" x14ac:dyDescent="0.25">
      <c r="B27" s="36" t="s">
        <v>60</v>
      </c>
      <c r="C27" s="37">
        <f>IFERROR(VLOOKUP(B27,Boligforhold!$A$3:$M$119,9,FALSE),"")</f>
        <v>16580</v>
      </c>
      <c r="D27" s="54">
        <f t="shared" si="0"/>
        <v>0.9769675884095963</v>
      </c>
      <c r="E27" s="38">
        <f>IFERROR(VLOOKUP(B27,Boligforhold!$A$3:$M$119,13,FALSE),"")</f>
        <v>1.1059078886170914</v>
      </c>
      <c r="F27" s="32">
        <f>IFERROR(VLOOKUP(B27,Pendling!$A$3:$G$102,7,FALSE),"")</f>
        <v>0.84802728820210116</v>
      </c>
    </row>
    <row r="28" spans="2:6" ht="12.75" customHeight="1" x14ac:dyDescent="0.25">
      <c r="B28" s="36" t="s">
        <v>61</v>
      </c>
      <c r="C28" s="37">
        <f>IFERROR(VLOOKUP(B28,Boligforhold!$A$3:$M$119,9,FALSE),"")</f>
        <v>25513</v>
      </c>
      <c r="D28" s="54">
        <f t="shared" si="0"/>
        <v>0.74596683017463106</v>
      </c>
      <c r="E28" s="38">
        <f>IFERROR(VLOOKUP(B28,Boligforhold!$A$3:$M$119,13,FALSE),"")</f>
        <v>0.42128064010592103</v>
      </c>
      <c r="F28" s="32">
        <f>IFERROR(VLOOKUP(B28,Pendling!$A$3:$G$102,7,FALSE),"")</f>
        <v>1.0706530202433411</v>
      </c>
    </row>
    <row r="29" spans="2:6" ht="12.75" customHeight="1" x14ac:dyDescent="0.25">
      <c r="B29" s="36" t="s">
        <v>62</v>
      </c>
      <c r="C29" s="37">
        <f>IFERROR(VLOOKUP(B29,Boligforhold!$A$3:$M$119,9,FALSE),"")</f>
        <v>43181</v>
      </c>
      <c r="D29" s="54">
        <f t="shared" si="0"/>
        <v>0.50941444582999229</v>
      </c>
      <c r="E29" s="38">
        <f>IFERROR(VLOOKUP(B29,Boligforhold!$A$3:$M$119,13,FALSE),"")</f>
        <v>0.23640300819937488</v>
      </c>
      <c r="F29" s="32">
        <f>IFERROR(VLOOKUP(B29,Pendling!$A$3:$G$102,7,FALSE),"")</f>
        <v>0.78242588346060971</v>
      </c>
    </row>
    <row r="30" spans="2:6" ht="12.75" customHeight="1" x14ac:dyDescent="0.25">
      <c r="B30" s="36" t="s">
        <v>63</v>
      </c>
      <c r="C30" s="37">
        <f>IFERROR(VLOOKUP(B30,Boligforhold!$A$3:$M$119,9,FALSE),"")</f>
        <v>40670</v>
      </c>
      <c r="D30" s="54">
        <f t="shared" si="0"/>
        <v>0.75976662969397157</v>
      </c>
      <c r="E30" s="38">
        <f>IFERROR(VLOOKUP(B30,Boligforhold!$A$3:$M$119,13,FALSE),"")</f>
        <v>0.69784738222523834</v>
      </c>
      <c r="F30" s="32">
        <f>IFERROR(VLOOKUP(B30,Pendling!$A$3:$G$102,7,FALSE),"")</f>
        <v>0.82168587716270469</v>
      </c>
    </row>
    <row r="31" spans="2:6" ht="12.75" customHeight="1" x14ac:dyDescent="0.25">
      <c r="B31" s="36" t="s">
        <v>64</v>
      </c>
      <c r="C31" s="37">
        <f>IFERROR(VLOOKUP(B31,Boligforhold!$A$3:$M$119,9,FALSE),"")</f>
        <v>45043</v>
      </c>
      <c r="D31" s="54">
        <f t="shared" si="0"/>
        <v>0.67140064991197523</v>
      </c>
      <c r="E31" s="38">
        <f>IFERROR(VLOOKUP(B31,Boligforhold!$A$3:$M$119,13,FALSE),"")</f>
        <v>0.47601263611595623</v>
      </c>
      <c r="F31" s="32">
        <f>IFERROR(VLOOKUP(B31,Pendling!$A$3:$G$102,7,FALSE),"")</f>
        <v>0.86678866370799423</v>
      </c>
    </row>
    <row r="32" spans="2:6" ht="12.75" customHeight="1" x14ac:dyDescent="0.25">
      <c r="B32" s="36" t="s">
        <v>65</v>
      </c>
      <c r="C32" s="37">
        <f>IFERROR(VLOOKUP(B32,Boligforhold!$A$3:$M$119,9,FALSE),"")</f>
        <v>40670</v>
      </c>
      <c r="D32" s="54">
        <f t="shared" si="0"/>
        <v>0.82841042566240275</v>
      </c>
      <c r="E32" s="38">
        <f>IFERROR(VLOOKUP(B32,Boligforhold!$A$3:$M$119,13,FALSE),"")</f>
        <v>0.80889941969935186</v>
      </c>
      <c r="F32" s="32">
        <f>IFERROR(VLOOKUP(B32,Pendling!$A$3:$G$102,7,FALSE),"")</f>
        <v>0.84792143162545353</v>
      </c>
    </row>
    <row r="33" spans="2:8" ht="12.75" customHeight="1" x14ac:dyDescent="0.25">
      <c r="B33" s="36" t="s">
        <v>66</v>
      </c>
      <c r="C33" s="37">
        <f>IFERROR(VLOOKUP(B33,Boligforhold!$A$3:$M$119,9,FALSE),"")</f>
        <v>40859</v>
      </c>
      <c r="D33" s="54">
        <f t="shared" si="0"/>
        <v>0.5032246806794124</v>
      </c>
      <c r="E33" s="38">
        <f>IFERROR(VLOOKUP(B33,Boligforhold!$A$3:$M$119,13,FALSE),"")</f>
        <v>0.18465611271806071</v>
      </c>
      <c r="F33" s="32">
        <f>IFERROR(VLOOKUP(B33,Pendling!$A$3:$G$102,7,FALSE),"")</f>
        <v>0.82179324864076408</v>
      </c>
    </row>
    <row r="34" spans="2:8" ht="12.75" customHeight="1" x14ac:dyDescent="0.25">
      <c r="B34" s="36" t="s">
        <v>67</v>
      </c>
      <c r="C34" s="37">
        <f>IFERROR(VLOOKUP(B34,Boligforhold!$A$3:$M$119,9,FALSE),"")</f>
        <v>31167</v>
      </c>
      <c r="D34" s="54">
        <f t="shared" si="0"/>
        <v>0.61481320552258434</v>
      </c>
      <c r="E34" s="38">
        <f>IFERROR(VLOOKUP(B34,Boligforhold!$A$3:$M$119,13,FALSE),"")</f>
        <v>0.43355600185775955</v>
      </c>
      <c r="F34" s="32">
        <f>IFERROR(VLOOKUP(B34,Pendling!$A$3:$G$102,7,FALSE),"")</f>
        <v>0.79607040918740912</v>
      </c>
    </row>
    <row r="35" spans="2:8" ht="12.75" customHeight="1" x14ac:dyDescent="0.25">
      <c r="B35" s="36" t="s">
        <v>68</v>
      </c>
      <c r="C35" s="37">
        <f>IFERROR(VLOOKUP(B35,Boligforhold!$A$3:$M$119,9,FALSE),"")</f>
        <v>62328</v>
      </c>
      <c r="D35" s="54">
        <f t="shared" si="0"/>
        <v>1.0042084337483188</v>
      </c>
      <c r="E35" s="38">
        <f>IFERROR(VLOOKUP(B35,Boligforhold!$A$3:$M$119,13,FALSE),"")</f>
        <v>1.1381940624916438</v>
      </c>
      <c r="F35" s="32">
        <f>IFERROR(VLOOKUP(B35,Pendling!$A$3:$G$102,7,FALSE),"")</f>
        <v>0.87022280500499405</v>
      </c>
    </row>
    <row r="36" spans="2:8" ht="12.75" customHeight="1" x14ac:dyDescent="0.25">
      <c r="B36" s="36" t="s">
        <v>69</v>
      </c>
      <c r="C36" s="37">
        <f>IFERROR(VLOOKUP(B36,Boligforhold!$A$3:$M$119,9,FALSE),"")</f>
        <v>50956</v>
      </c>
      <c r="D36" s="54">
        <f t="shared" si="0"/>
        <v>1.0027193921654229</v>
      </c>
      <c r="E36" s="38">
        <f>IFERROR(VLOOKUP(B36,Boligforhold!$A$3:$M$119,13,FALSE),"")</f>
        <v>0.90152418693292102</v>
      </c>
      <c r="F36" s="32">
        <f>IFERROR(VLOOKUP(B36,Pendling!$A$3:$G$102,7,FALSE),"")</f>
        <v>1.1039145973979247</v>
      </c>
    </row>
    <row r="37" spans="2:8" ht="12.75" customHeight="1" x14ac:dyDescent="0.25">
      <c r="B37" s="36" t="s">
        <v>70</v>
      </c>
      <c r="C37" s="37">
        <f>IFERROR(VLOOKUP(B37,Boligforhold!$A$3:$M$119,9,FALSE),"")</f>
        <v>24746</v>
      </c>
      <c r="D37" s="54">
        <f t="shared" si="0"/>
        <v>0.88642518772963186</v>
      </c>
      <c r="E37" s="38">
        <f>IFERROR(VLOOKUP(B37,Boligforhold!$A$3:$M$119,13,FALSE),"")</f>
        <v>0.88206734756675742</v>
      </c>
      <c r="F37" s="32">
        <f>IFERROR(VLOOKUP(B37,Pendling!$A$3:$G$102,7,FALSE),"")</f>
        <v>0.89078302789250641</v>
      </c>
    </row>
    <row r="38" spans="2:8" ht="12.75" customHeight="1" x14ac:dyDescent="0.25">
      <c r="B38" s="36" t="s">
        <v>71</v>
      </c>
      <c r="C38" s="37">
        <f>IFERROR(VLOOKUP(B38,Boligforhold!$A$3:$M$119,9,FALSE),"")</f>
        <v>56389</v>
      </c>
      <c r="D38" s="54">
        <f t="shared" si="0"/>
        <v>0.92207702636217159</v>
      </c>
      <c r="E38" s="38">
        <f>IFERROR(VLOOKUP(B38,Boligforhold!$A$3:$M$119,13,FALSE),"")</f>
        <v>0.86091421879072494</v>
      </c>
      <c r="F38" s="32">
        <f>IFERROR(VLOOKUP(B38,Pendling!$A$3:$G$102,7,FALSE),"")</f>
        <v>0.98323983393361836</v>
      </c>
      <c r="H38" s="26"/>
    </row>
    <row r="39" spans="2:8" ht="12.75" customHeight="1" x14ac:dyDescent="0.25">
      <c r="B39" s="36" t="s">
        <v>72</v>
      </c>
      <c r="C39" s="37">
        <f>IFERROR(VLOOKUP(B39,Boligforhold!$A$3:$M$119,9,FALSE),"")</f>
        <v>39346</v>
      </c>
      <c r="D39" s="54">
        <f t="shared" si="0"/>
        <v>0.58992539576736602</v>
      </c>
      <c r="E39" s="38">
        <f>IFERROR(VLOOKUP(B39,Boligforhold!$A$3:$M$119,13,FALSE),"")</f>
        <v>0.25102286525224815</v>
      </c>
      <c r="F39" s="32">
        <f>IFERROR(VLOOKUP(B39,Pendling!$A$3:$G$102,7,FALSE),"")</f>
        <v>0.92882792628248378</v>
      </c>
    </row>
    <row r="40" spans="2:8" ht="12.75" customHeight="1" x14ac:dyDescent="0.25">
      <c r="B40" s="36" t="s">
        <v>73</v>
      </c>
      <c r="C40" s="37">
        <f>IFERROR(VLOOKUP(B40,Boligforhold!$A$3:$M$119,9,FALSE),"")</f>
        <v>50308</v>
      </c>
      <c r="D40" s="54">
        <f t="shared" si="0"/>
        <v>0.75175896687632815</v>
      </c>
      <c r="E40" s="38">
        <f>IFERROR(VLOOKUP(B40,Boligforhold!$A$3:$M$119,13,FALSE),"")</f>
        <v>0.63124244150796416</v>
      </c>
      <c r="F40" s="32">
        <f>IFERROR(VLOOKUP(B40,Pendling!$A$3:$G$102,7,FALSE),"")</f>
        <v>0.87227549224469214</v>
      </c>
    </row>
    <row r="41" spans="2:8" ht="12.75" customHeight="1" x14ac:dyDescent="0.25">
      <c r="B41" s="36" t="s">
        <v>74</v>
      </c>
      <c r="C41" s="37">
        <f>IFERROR(VLOOKUP(B41,Boligforhold!$A$3:$M$119,9,FALSE),"")</f>
        <v>60504</v>
      </c>
      <c r="D41" s="54">
        <f t="shared" si="0"/>
        <v>0.8807594213287091</v>
      </c>
      <c r="E41" s="38">
        <f>IFERROR(VLOOKUP(B41,Boligforhold!$A$3:$M$119,13,FALSE),"")</f>
        <v>0.77665082359095894</v>
      </c>
      <c r="F41" s="32">
        <f>IFERROR(VLOOKUP(B41,Pendling!$A$3:$G$102,7,FALSE),"")</f>
        <v>0.98486801906645938</v>
      </c>
    </row>
    <row r="42" spans="2:8" ht="12.75" customHeight="1" x14ac:dyDescent="0.25">
      <c r="B42" s="36" t="s">
        <v>75</v>
      </c>
      <c r="C42" s="37">
        <f>IFERROR(VLOOKUP(B42,Boligforhold!$A$3:$M$119,9,FALSE),"")</f>
        <v>27750</v>
      </c>
      <c r="D42" s="54">
        <f t="shared" si="0"/>
        <v>0.4431756065845931</v>
      </c>
      <c r="E42" s="38">
        <f>IFERROR(VLOOKUP(B42,Boligforhold!$A$3:$M$119,13,FALSE),"")</f>
        <v>9.0665854351233977E-2</v>
      </c>
      <c r="F42" s="32">
        <f>IFERROR(VLOOKUP(B42,Pendling!$A$3:$G$102,7,FALSE),"")</f>
        <v>0.79568535881795222</v>
      </c>
    </row>
    <row r="43" spans="2:8" ht="12.75" customHeight="1" x14ac:dyDescent="0.25">
      <c r="B43" s="36" t="s">
        <v>76</v>
      </c>
      <c r="C43" s="37">
        <f>IFERROR(VLOOKUP(B43,Boligforhold!$A$3:$M$119,9,FALSE),"")</f>
        <v>87188</v>
      </c>
      <c r="D43" s="54">
        <f t="shared" si="0"/>
        <v>0.9238478820890722</v>
      </c>
      <c r="E43" s="38">
        <f>IFERROR(VLOOKUP(B43,Boligforhold!$A$3:$M$119,13,FALSE),"")</f>
        <v>0.85173673516754234</v>
      </c>
      <c r="F43" s="32">
        <f>IFERROR(VLOOKUP(B43,Pendling!$A$3:$G$102,7,FALSE),"")</f>
        <v>0.99595902901060207</v>
      </c>
    </row>
    <row r="44" spans="2:8" ht="12.75" customHeight="1" x14ac:dyDescent="0.25">
      <c r="B44" s="36" t="s">
        <v>77</v>
      </c>
      <c r="C44" s="37">
        <f>IFERROR(VLOOKUP(B44,Boligforhold!$A$3:$M$119,9,FALSE),"")</f>
        <v>22662</v>
      </c>
      <c r="D44" s="54">
        <f t="shared" si="0"/>
        <v>0.66347031589734906</v>
      </c>
      <c r="E44" s="38">
        <f>IFERROR(VLOOKUP(B44,Boligforhold!$A$3:$M$119,13,FALSE),"")</f>
        <v>0.54712115633428926</v>
      </c>
      <c r="F44" s="32">
        <f>IFERROR(VLOOKUP(B44,Pendling!$A$3:$G$102,7,FALSE),"")</f>
        <v>0.77981947546040886</v>
      </c>
    </row>
    <row r="45" spans="2:8" ht="12.75" customHeight="1" x14ac:dyDescent="0.25">
      <c r="B45" s="36" t="s">
        <v>78</v>
      </c>
      <c r="C45" s="37">
        <f>IFERROR(VLOOKUP(B45,Boligforhold!$A$3:$M$119,9,FALSE),"")</f>
        <v>36420</v>
      </c>
      <c r="D45" s="54">
        <f t="shared" si="0"/>
        <v>0.59717713147687657</v>
      </c>
      <c r="E45" s="38">
        <f>IFERROR(VLOOKUP(B45,Boligforhold!$A$3:$M$119,13,FALSE),"")</f>
        <v>0.34751768042444553</v>
      </c>
      <c r="F45" s="32">
        <f>IFERROR(VLOOKUP(B45,Pendling!$A$3:$G$102,7,FALSE),"")</f>
        <v>0.84683658252930771</v>
      </c>
    </row>
    <row r="46" spans="2:8" ht="12.75" customHeight="1" x14ac:dyDescent="0.25">
      <c r="B46" s="36" t="s">
        <v>79</v>
      </c>
      <c r="C46" s="37">
        <f>IFERROR(VLOOKUP(B46,Boligforhold!$A$3:$M$119,9,FALSE),"")</f>
        <v>60456</v>
      </c>
      <c r="D46" s="54">
        <f t="shared" si="0"/>
        <v>0.712417378255772</v>
      </c>
      <c r="E46" s="38">
        <f>IFERROR(VLOOKUP(B46,Boligforhold!$A$3:$M$119,13,FALSE),"")</f>
        <v>0.53558625416101591</v>
      </c>
      <c r="F46" s="32">
        <f>IFERROR(VLOOKUP(B46,Pendling!$A$3:$G$102,7,FALSE),"")</f>
        <v>0.8892485023505281</v>
      </c>
    </row>
    <row r="47" spans="2:8" ht="12.75" customHeight="1" x14ac:dyDescent="0.25">
      <c r="B47" s="36" t="s">
        <v>80</v>
      </c>
      <c r="C47" s="37">
        <f>IFERROR(VLOOKUP(B47,Boligforhold!$A$3:$M$119,9,FALSE),"")</f>
        <v>71378</v>
      </c>
      <c r="D47" s="54">
        <f t="shared" si="0"/>
        <v>0.79155925723542564</v>
      </c>
      <c r="E47" s="38">
        <f>IFERROR(VLOOKUP(B47,Boligforhold!$A$3:$M$119,13,FALSE),"")</f>
        <v>0.68554307066191467</v>
      </c>
      <c r="F47" s="32">
        <f>IFERROR(VLOOKUP(B47,Pendling!$A$3:$G$102,7,FALSE),"")</f>
        <v>0.89757544380893661</v>
      </c>
    </row>
    <row r="48" spans="2:8" ht="12.75" customHeight="1" x14ac:dyDescent="0.25">
      <c r="B48" s="36" t="s">
        <v>81</v>
      </c>
      <c r="C48" s="37">
        <f>IFERROR(VLOOKUP(B48,Boligforhold!$A$3:$M$119,9,FALSE),"")</f>
        <v>48285</v>
      </c>
      <c r="D48" s="54">
        <f t="shared" si="0"/>
        <v>0.65297783877605642</v>
      </c>
      <c r="E48" s="38">
        <f>IFERROR(VLOOKUP(B48,Boligforhold!$A$3:$M$119,13,FALSE),"")</f>
        <v>0.40503515253347722</v>
      </c>
      <c r="F48" s="32">
        <f>IFERROR(VLOOKUP(B48,Pendling!$A$3:$G$102,7,FALSE),"")</f>
        <v>0.90092052501863562</v>
      </c>
    </row>
    <row r="49" spans="2:6" ht="12.75" customHeight="1" x14ac:dyDescent="0.25">
      <c r="B49" s="36" t="s">
        <v>82</v>
      </c>
      <c r="C49" s="37">
        <f>IFERROR(VLOOKUP(B49,Boligforhold!$A$3:$M$119,9,FALSE),"")</f>
        <v>40946</v>
      </c>
      <c r="D49" s="54">
        <f t="shared" si="0"/>
        <v>0.66517721427928311</v>
      </c>
      <c r="E49" s="38">
        <f>IFERROR(VLOOKUP(B49,Boligforhold!$A$3:$M$119,13,FALSE),"")</f>
        <v>0.43079804118751641</v>
      </c>
      <c r="F49" s="32">
        <f>IFERROR(VLOOKUP(B49,Pendling!$A$3:$G$102,7,FALSE),"")</f>
        <v>0.89955638737104981</v>
      </c>
    </row>
    <row r="50" spans="2:6" ht="12.75" customHeight="1" x14ac:dyDescent="0.25">
      <c r="B50" s="36" t="s">
        <v>83</v>
      </c>
      <c r="C50" s="37">
        <f>IFERROR(VLOOKUP(B50,Boligforhold!$A$3:$M$119,9,FALSE),"")</f>
        <v>82859</v>
      </c>
      <c r="D50" s="54">
        <f t="shared" si="0"/>
        <v>0.7602640362170322</v>
      </c>
      <c r="E50" s="38">
        <f>IFERROR(VLOOKUP(B50,Boligforhold!$A$3:$M$119,13,FALSE),"")</f>
        <v>0.64198836156314565</v>
      </c>
      <c r="F50" s="32">
        <f>IFERROR(VLOOKUP(B50,Pendling!$A$3:$G$102,7,FALSE),"")</f>
        <v>0.87853971087091876</v>
      </c>
    </row>
    <row r="51" spans="2:6" ht="12.75" customHeight="1" x14ac:dyDescent="0.25">
      <c r="B51" s="36" t="s">
        <v>84</v>
      </c>
      <c r="C51" s="37">
        <f>IFERROR(VLOOKUP(B51,Boligforhold!$A$3:$M$119,9,FALSE),"")</f>
        <v>32830</v>
      </c>
      <c r="D51" s="54">
        <f t="shared" si="0"/>
        <v>0.56179436208625533</v>
      </c>
      <c r="E51" s="38">
        <f>IFERROR(VLOOKUP(B51,Boligforhold!$A$3:$M$119,13,FALSE),"")</f>
        <v>0.27813454810599703</v>
      </c>
      <c r="F51" s="32">
        <f>IFERROR(VLOOKUP(B51,Pendling!$A$3:$G$102,7,FALSE),"")</f>
        <v>0.84545417606651352</v>
      </c>
    </row>
    <row r="52" spans="2:6" ht="12.75" customHeight="1" x14ac:dyDescent="0.25">
      <c r="B52" s="36" t="s">
        <v>85</v>
      </c>
      <c r="C52" s="37">
        <f>IFERROR(VLOOKUP(B52,Boligforhold!$A$3:$M$119,9,FALSE),"")</f>
        <v>34507</v>
      </c>
      <c r="D52" s="54">
        <f t="shared" si="0"/>
        <v>0.92877590442091673</v>
      </c>
      <c r="E52" s="38">
        <f>IFERROR(VLOOKUP(B52,Boligforhold!$A$3:$M$119,13,FALSE),"")</f>
        <v>0.86765386017724599</v>
      </c>
      <c r="F52" s="32">
        <f>IFERROR(VLOOKUP(B52,Pendling!$A$3:$G$102,7,FALSE),"")</f>
        <v>0.98989794866458736</v>
      </c>
    </row>
    <row r="53" spans="2:6" ht="12.75" customHeight="1" x14ac:dyDescent="0.25">
      <c r="B53" s="36" t="s">
        <v>86</v>
      </c>
      <c r="C53" s="37">
        <f>IFERROR(VLOOKUP(B53,Boligforhold!$A$3:$M$119,9,FALSE),"")</f>
        <v>78749</v>
      </c>
      <c r="D53" s="54">
        <f t="shared" si="0"/>
        <v>0.95212273427831562</v>
      </c>
      <c r="E53" s="38">
        <f>IFERROR(VLOOKUP(B53,Boligforhold!$A$3:$M$119,13,FALSE),"")</f>
        <v>0.96545407836221875</v>
      </c>
      <c r="F53" s="32">
        <f>IFERROR(VLOOKUP(B53,Pendling!$A$3:$G$102,7,FALSE),"")</f>
        <v>0.93879139019441249</v>
      </c>
    </row>
    <row r="54" spans="2:6" ht="12.75" customHeight="1" x14ac:dyDescent="0.25">
      <c r="B54" s="36" t="s">
        <v>87</v>
      </c>
      <c r="C54" s="37">
        <f>IFERROR(VLOOKUP(B54,Boligforhold!$A$3:$M$119,9,FALSE),"")</f>
        <v>29757</v>
      </c>
      <c r="D54" s="54">
        <f t="shared" si="0"/>
        <v>0.64180816606073932</v>
      </c>
      <c r="E54" s="38">
        <f>IFERROR(VLOOKUP(B54,Boligforhold!$A$3:$M$119,13,FALSE),"")</f>
        <v>0.38037538383967995</v>
      </c>
      <c r="F54" s="32">
        <f>IFERROR(VLOOKUP(B54,Pendling!$A$3:$G$102,7,FALSE),"")</f>
        <v>0.90324094828179857</v>
      </c>
    </row>
    <row r="55" spans="2:6" ht="12.75" customHeight="1" x14ac:dyDescent="0.25">
      <c r="B55" s="36" t="s">
        <v>88</v>
      </c>
      <c r="C55" s="37">
        <f>IFERROR(VLOOKUP(B55,Boligforhold!$A$3:$M$119,9,FALSE),"")</f>
        <v>22686</v>
      </c>
      <c r="D55" s="54">
        <f t="shared" si="0"/>
        <v>0.47882397655561898</v>
      </c>
      <c r="E55" s="38">
        <f>IFERROR(VLOOKUP(B55,Boligforhold!$A$3:$M$119,13,FALSE),"")</f>
        <v>0.18407427169404011</v>
      </c>
      <c r="F55" s="32">
        <f>IFERROR(VLOOKUP(B55,Pendling!$A$3:$G$102,7,FALSE),"")</f>
        <v>0.77357368141719784</v>
      </c>
    </row>
    <row r="56" spans="2:6" ht="12.75" customHeight="1" x14ac:dyDescent="0.25">
      <c r="B56" s="36" t="s">
        <v>89</v>
      </c>
      <c r="C56" s="37">
        <f>IFERROR(VLOOKUP(B56,Boligforhold!$A$3:$M$119,9,FALSE),"")</f>
        <v>45357</v>
      </c>
      <c r="D56" s="54">
        <f t="shared" si="0"/>
        <v>0.69226644664482606</v>
      </c>
      <c r="E56" s="38">
        <f>IFERROR(VLOOKUP(B56,Boligforhold!$A$3:$M$119,13,FALSE),"")</f>
        <v>0.52142311236456063</v>
      </c>
      <c r="F56" s="32">
        <f>IFERROR(VLOOKUP(B56,Pendling!$A$3:$G$102,7,FALSE),"")</f>
        <v>0.86310978092509139</v>
      </c>
    </row>
    <row r="57" spans="2:6" ht="12.75" customHeight="1" x14ac:dyDescent="0.25">
      <c r="B57" s="36" t="s">
        <v>90</v>
      </c>
      <c r="C57" s="37">
        <f>IFERROR(VLOOKUP(B57,Boligforhold!$A$3:$M$119,9,FALSE),"")</f>
        <v>40900</v>
      </c>
      <c r="D57" s="54">
        <f t="shared" si="0"/>
        <v>0.56855669917937557</v>
      </c>
      <c r="E57" s="38">
        <f>IFERROR(VLOOKUP(B57,Boligforhold!$A$3:$M$119,13,FALSE),"")</f>
        <v>0.26346570556868509</v>
      </c>
      <c r="F57" s="32">
        <f>IFERROR(VLOOKUP(B57,Pendling!$A$3:$G$102,7,FALSE),"")</f>
        <v>0.87364769279006615</v>
      </c>
    </row>
    <row r="58" spans="2:6" ht="12.75" customHeight="1" x14ac:dyDescent="0.25">
      <c r="B58" s="36" t="s">
        <v>91</v>
      </c>
      <c r="C58" s="37">
        <f>IFERROR(VLOOKUP(B58,Boligforhold!$A$3:$M$119,9,FALSE),"")</f>
        <v>51289</v>
      </c>
      <c r="D58" s="54">
        <f t="shared" si="0"/>
        <v>0.55175297601816653</v>
      </c>
      <c r="E58" s="38">
        <f>IFERROR(VLOOKUP(B58,Boligforhold!$A$3:$M$119,13,FALSE),"")</f>
        <v>0.22768658629523797</v>
      </c>
      <c r="F58" s="32">
        <f>IFERROR(VLOOKUP(B58,Pendling!$A$3:$G$102,7,FALSE),"")</f>
        <v>0.8758193657410952</v>
      </c>
    </row>
    <row r="59" spans="2:6" ht="12.75" customHeight="1" x14ac:dyDescent="0.25">
      <c r="B59" s="36" t="s">
        <v>92</v>
      </c>
      <c r="C59" s="37">
        <f>IFERROR(VLOOKUP(B59,Boligforhold!$A$3:$M$119,9,FALSE),"")</f>
        <v>23714</v>
      </c>
      <c r="D59" s="54">
        <f t="shared" si="0"/>
        <v>0.60363930366170993</v>
      </c>
      <c r="E59" s="38">
        <f>IFERROR(VLOOKUP(B59,Boligforhold!$A$3:$M$119,13,FALSE),"")</f>
        <v>0.29965852184155151</v>
      </c>
      <c r="F59" s="32">
        <f>IFERROR(VLOOKUP(B59,Pendling!$A$3:$G$102,7,FALSE),"")</f>
        <v>0.90762008548186834</v>
      </c>
    </row>
    <row r="60" spans="2:6" ht="12.75" customHeight="1" x14ac:dyDescent="0.25">
      <c r="B60" s="36" t="s">
        <v>93</v>
      </c>
      <c r="C60" s="37">
        <f>IFERROR(VLOOKUP(B60,Boligforhold!$A$3:$M$119,9,FALSE),"")</f>
        <v>12445</v>
      </c>
      <c r="D60" s="54">
        <f t="shared" si="0"/>
        <v>0.54969829971260842</v>
      </c>
      <c r="E60" s="38">
        <f>IFERROR(VLOOKUP(B60,Boligforhold!$A$3:$M$119,13,FALSE),"")</f>
        <v>0.23569799312917183</v>
      </c>
      <c r="F60" s="32">
        <f>IFERROR(VLOOKUP(B60,Pendling!$A$3:$G$102,7,FALSE),"")</f>
        <v>0.863698606296045</v>
      </c>
    </row>
    <row r="61" spans="2:6" ht="12.75" customHeight="1" x14ac:dyDescent="0.25">
      <c r="B61" s="36" t="s">
        <v>94</v>
      </c>
      <c r="C61" s="37">
        <f>IFERROR(VLOOKUP(B61,Boligforhold!$A$3:$M$119,9,FALSE),"")</f>
        <v>38676</v>
      </c>
      <c r="D61" s="54">
        <f t="shared" si="0"/>
        <v>0.65575413952698525</v>
      </c>
      <c r="E61" s="38">
        <f>IFERROR(VLOOKUP(B61,Boligforhold!$A$3:$M$119,13,FALSE),"")</f>
        <v>0.34850783412912334</v>
      </c>
      <c r="F61" s="32">
        <f>IFERROR(VLOOKUP(B61,Pendling!$A$3:$G$102,7,FALSE),"")</f>
        <v>0.96300044492484727</v>
      </c>
    </row>
    <row r="62" spans="2:6" ht="12.75" customHeight="1" x14ac:dyDescent="0.25">
      <c r="B62" s="36" t="s">
        <v>95</v>
      </c>
      <c r="C62" s="37">
        <f>IFERROR(VLOOKUP(B62,Boligforhold!$A$3:$M$119,9,FALSE),"")</f>
        <v>29549</v>
      </c>
      <c r="D62" s="54">
        <f t="shared" si="0"/>
        <v>0.51221700553777127</v>
      </c>
      <c r="E62" s="38">
        <f>IFERROR(VLOOKUP(B62,Boligforhold!$A$3:$M$119,13,FALSE),"")</f>
        <v>0.18171390191619696</v>
      </c>
      <c r="F62" s="32">
        <f>IFERROR(VLOOKUP(B62,Pendling!$A$3:$G$102,7,FALSE),"")</f>
        <v>0.8427201091593457</v>
      </c>
    </row>
    <row r="63" spans="2:6" ht="12.75" customHeight="1" x14ac:dyDescent="0.25">
      <c r="B63" s="36" t="s">
        <v>96</v>
      </c>
      <c r="C63" s="37">
        <f>IFERROR(VLOOKUP(B63,Boligforhold!$A$3:$M$119,9,FALSE),"")</f>
        <v>31941</v>
      </c>
      <c r="D63" s="54">
        <f t="shared" si="0"/>
        <v>0.72074842393354044</v>
      </c>
      <c r="E63" s="38">
        <f>IFERROR(VLOOKUP(B63,Boligforhold!$A$3:$M$119,13,FALSE),"")</f>
        <v>0.58673691489763136</v>
      </c>
      <c r="F63" s="32">
        <f>IFERROR(VLOOKUP(B63,Pendling!$A$3:$G$102,7,FALSE),"")</f>
        <v>0.85475993296944941</v>
      </c>
    </row>
    <row r="64" spans="2:6" ht="12.75" customHeight="1" x14ac:dyDescent="0.25">
      <c r="B64" s="36" t="s">
        <v>97</v>
      </c>
      <c r="C64" s="37">
        <f>IFERROR(VLOOKUP(B64,Boligforhold!$A$3:$M$119,9,FALSE),"")</f>
        <v>203369</v>
      </c>
      <c r="D64" s="54">
        <f t="shared" si="0"/>
        <v>1.0483243677283016</v>
      </c>
      <c r="E64" s="38">
        <f>IFERROR(VLOOKUP(B64,Boligforhold!$A$3:$M$119,13,FALSE),"")</f>
        <v>1.0760932830941383</v>
      </c>
      <c r="F64" s="32">
        <f>IFERROR(VLOOKUP(B64,Pendling!$A$3:$G$102,7,FALSE),"")</f>
        <v>1.0205554523624651</v>
      </c>
    </row>
    <row r="65" spans="2:6" ht="12.75" customHeight="1" x14ac:dyDescent="0.25">
      <c r="B65" s="36" t="s">
        <v>98</v>
      </c>
      <c r="C65" s="37">
        <f>IFERROR(VLOOKUP(B65,Boligforhold!$A$3:$M$119,9,FALSE),"")</f>
        <v>57959</v>
      </c>
      <c r="D65" s="54">
        <f t="shared" si="0"/>
        <v>0.73132330898377018</v>
      </c>
      <c r="E65" s="38">
        <f>IFERROR(VLOOKUP(B65,Boligforhold!$A$3:$M$119,13,FALSE),"")</f>
        <v>0.55686056634857273</v>
      </c>
      <c r="F65" s="32">
        <f>IFERROR(VLOOKUP(B65,Pendling!$A$3:$G$102,7,FALSE),"")</f>
        <v>0.90578605161896764</v>
      </c>
    </row>
    <row r="66" spans="2:6" ht="12.75" customHeight="1" x14ac:dyDescent="0.25">
      <c r="B66" s="36" t="s">
        <v>99</v>
      </c>
      <c r="C66" s="37">
        <f>IFERROR(VLOOKUP(B66,Boligforhold!$A$3:$M$119,9,FALSE),"")</f>
        <v>5948</v>
      </c>
      <c r="D66" s="54">
        <f t="shared" si="0"/>
        <v>0.53054002076876139</v>
      </c>
      <c r="E66" s="38">
        <f>IFERROR(VLOOKUP(B66,Boligforhold!$A$3:$M$119,13,FALSE),"")</f>
        <v>0.16971406329718908</v>
      </c>
      <c r="F66" s="32">
        <f>IFERROR(VLOOKUP(B66,Pendling!$A$3:$G$102,7,FALSE),"")</f>
        <v>0.89136597824033359</v>
      </c>
    </row>
    <row r="67" spans="2:6" ht="12.75" customHeight="1" x14ac:dyDescent="0.25">
      <c r="B67" s="36" t="s">
        <v>100</v>
      </c>
      <c r="C67" s="37">
        <f>IFERROR(VLOOKUP(B67,Boligforhold!$A$3:$M$119,9,FALSE),"")</f>
        <v>26548</v>
      </c>
      <c r="D67" s="54">
        <f t="shared" si="0"/>
        <v>0.78807406319485707</v>
      </c>
      <c r="E67" s="38">
        <f>IFERROR(VLOOKUP(B67,Boligforhold!$A$3:$M$119,13,FALSE),"")</f>
        <v>0.36821956097809583</v>
      </c>
      <c r="F67" s="32">
        <f>IFERROR(VLOOKUP(B67,Pendling!$A$3:$G$102,7,FALSE),"")</f>
        <v>1.2079285654116183</v>
      </c>
    </row>
    <row r="68" spans="2:6" ht="12.75" customHeight="1" x14ac:dyDescent="0.25">
      <c r="B68" s="36" t="s">
        <v>101</v>
      </c>
      <c r="C68" s="37">
        <f>IFERROR(VLOOKUP(B68,Boligforhold!$A$3:$M$119,9,FALSE),"")</f>
        <v>115073</v>
      </c>
      <c r="D68" s="54">
        <f t="shared" si="0"/>
        <v>0.92722242596377746</v>
      </c>
      <c r="E68" s="38">
        <f>IFERROR(VLOOKUP(B68,Boligforhold!$A$3:$M$119,13,FALSE),"")</f>
        <v>0.82881262553952206</v>
      </c>
      <c r="F68" s="32">
        <f>IFERROR(VLOOKUP(B68,Pendling!$A$3:$G$102,7,FALSE),"")</f>
        <v>1.0256322263880329</v>
      </c>
    </row>
    <row r="69" spans="2:6" ht="12.75" customHeight="1" x14ac:dyDescent="0.25">
      <c r="B69" s="36" t="s">
        <v>102</v>
      </c>
      <c r="C69" s="37">
        <f>IFERROR(VLOOKUP(B69,Boligforhold!$A$3:$M$119,9,FALSE),"")</f>
        <v>3478</v>
      </c>
      <c r="D69" s="54">
        <f t="shared" si="0"/>
        <v>0.48134036493103549</v>
      </c>
      <c r="E69" s="38">
        <f>IFERROR(VLOOKUP(B69,Boligforhold!$A$3:$M$119,13,FALSE),"")</f>
        <v>0.13938640037131833</v>
      </c>
      <c r="F69" s="32">
        <f>IFERROR(VLOOKUP(B69,Pendling!$A$3:$G$102,7,FALSE),"")</f>
        <v>0.82329432949075265</v>
      </c>
    </row>
    <row r="70" spans="2:6" ht="12.75" customHeight="1" x14ac:dyDescent="0.25">
      <c r="B70" s="36" t="s">
        <v>103</v>
      </c>
      <c r="C70" s="37">
        <f>IFERROR(VLOOKUP(B70,Boligforhold!$A$3:$M$119,9,FALSE),"")</f>
        <v>51135</v>
      </c>
      <c r="D70" s="54">
        <f t="shared" si="0"/>
        <v>1.0221516784807914</v>
      </c>
      <c r="E70" s="38">
        <f>IFERROR(VLOOKUP(B70,Boligforhold!$A$3:$M$119,13,FALSE),"")</f>
        <v>0.99737369781514129</v>
      </c>
      <c r="F70" s="32">
        <f>IFERROR(VLOOKUP(B70,Pendling!$A$3:$G$102,7,FALSE),"")</f>
        <v>1.0469296591464414</v>
      </c>
    </row>
    <row r="71" spans="2:6" ht="12.75" customHeight="1" x14ac:dyDescent="0.25">
      <c r="B71" s="36" t="s">
        <v>104</v>
      </c>
      <c r="C71" s="37">
        <f>IFERROR(VLOOKUP(B71,Boligforhold!$A$3:$M$119,9,FALSE),"")</f>
        <v>55582</v>
      </c>
      <c r="D71" s="54">
        <f t="shared" si="0"/>
        <v>0.79068475782204661</v>
      </c>
      <c r="E71" s="38">
        <f>IFERROR(VLOOKUP(B71,Boligforhold!$A$3:$M$119,13,FALSE),"")</f>
        <v>0.65828977773977537</v>
      </c>
      <c r="F71" s="32">
        <f>IFERROR(VLOOKUP(B71,Pendling!$A$3:$G$102,7,FALSE),"")</f>
        <v>0.92307973790431785</v>
      </c>
    </row>
    <row r="72" spans="2:6" ht="12.75" customHeight="1" x14ac:dyDescent="0.25">
      <c r="B72" s="36" t="s">
        <v>105</v>
      </c>
      <c r="C72" s="37">
        <f>IFERROR(VLOOKUP(B72,Boligforhold!$A$3:$M$119,9,FALSE),"")</f>
        <v>92837</v>
      </c>
      <c r="D72" s="54">
        <f t="shared" si="0"/>
        <v>0.93608377117627217</v>
      </c>
      <c r="E72" s="38">
        <f>IFERROR(VLOOKUP(B72,Boligforhold!$A$3:$M$119,13,FALSE),"")</f>
        <v>0.78754905138696563</v>
      </c>
      <c r="F72" s="32">
        <f>IFERROR(VLOOKUP(B72,Pendling!$A$3:$G$102,7,FALSE),"")</f>
        <v>1.0846184909655787</v>
      </c>
    </row>
    <row r="73" spans="2:6" ht="12.75" customHeight="1" x14ac:dyDescent="0.25">
      <c r="B73" s="36" t="s">
        <v>106</v>
      </c>
      <c r="C73" s="37">
        <f>IFERROR(VLOOKUP(B73,Boligforhold!$A$3:$M$119,9,FALSE),"")</f>
        <v>73947</v>
      </c>
      <c r="D73" s="54">
        <f t="shared" si="0"/>
        <v>0.78963779569520731</v>
      </c>
      <c r="E73" s="38">
        <f>IFERROR(VLOOKUP(B73,Boligforhold!$A$3:$M$119,13,FALSE),"")</f>
        <v>0.62454903761873548</v>
      </c>
      <c r="F73" s="32">
        <f>IFERROR(VLOOKUP(B73,Pendling!$A$3:$G$102,7,FALSE),"")</f>
        <v>0.95472655377167914</v>
      </c>
    </row>
    <row r="74" spans="2:6" ht="12.75" customHeight="1" x14ac:dyDescent="0.25">
      <c r="B74" s="36" t="s">
        <v>107</v>
      </c>
      <c r="C74" s="37">
        <f>IFERROR(VLOOKUP(B74,Boligforhold!$A$3:$M$119,9,FALSE),"")</f>
        <v>37282</v>
      </c>
      <c r="D74" s="54">
        <f t="shared" si="0"/>
        <v>0.62986130735912238</v>
      </c>
      <c r="E74" s="38">
        <f>IFERROR(VLOOKUP(B74,Boligforhold!$A$3:$M$119,13,FALSE),"")</f>
        <v>0.31627442563802544</v>
      </c>
      <c r="F74" s="32">
        <f>IFERROR(VLOOKUP(B74,Pendling!$A$3:$G$102,7,FALSE),"")</f>
        <v>0.94344818908021921</v>
      </c>
    </row>
    <row r="75" spans="2:6" ht="12.75" customHeight="1" x14ac:dyDescent="0.25">
      <c r="B75" s="36" t="s">
        <v>108</v>
      </c>
      <c r="C75" s="37">
        <f>IFERROR(VLOOKUP(B75,Boligforhold!$A$3:$M$119,9,FALSE),"")</f>
        <v>49576</v>
      </c>
      <c r="D75" s="54">
        <f t="shared" ref="D75:D108" si="1">E75*$C$4+F75*$C$5</f>
        <v>0.62671168952150258</v>
      </c>
      <c r="E75" s="38">
        <f>IFERROR(VLOOKUP(B75,Boligforhold!$A$3:$M$119,13,FALSE),"")</f>
        <v>0.30462323059275498</v>
      </c>
      <c r="F75" s="32">
        <f>IFERROR(VLOOKUP(B75,Pendling!$A$3:$G$102,7,FALSE),"")</f>
        <v>0.94880014845025029</v>
      </c>
    </row>
    <row r="76" spans="2:6" ht="12.75" customHeight="1" x14ac:dyDescent="0.25">
      <c r="B76" s="36" t="s">
        <v>109</v>
      </c>
      <c r="C76" s="37">
        <f>IFERROR(VLOOKUP(B76,Boligforhold!$A$3:$M$119,9,FALSE),"")</f>
        <v>42665</v>
      </c>
      <c r="D76" s="54">
        <f t="shared" si="1"/>
        <v>0.61387319512567773</v>
      </c>
      <c r="E76" s="38">
        <f>IFERROR(VLOOKUP(B76,Boligforhold!$A$3:$M$119,13,FALSE),"")</f>
        <v>0.24479959491191761</v>
      </c>
      <c r="F76" s="32">
        <f>IFERROR(VLOOKUP(B76,Pendling!$A$3:$G$102,7,FALSE),"")</f>
        <v>0.98294679533943796</v>
      </c>
    </row>
    <row r="77" spans="2:6" ht="12.75" customHeight="1" x14ac:dyDescent="0.25">
      <c r="B77" s="36" t="s">
        <v>110</v>
      </c>
      <c r="C77" s="37">
        <f>IFERROR(VLOOKUP(B77,Boligforhold!$A$3:$M$119,9,FALSE),"")</f>
        <v>115014</v>
      </c>
      <c r="D77" s="54">
        <f t="shared" si="1"/>
        <v>0.88290878119988769</v>
      </c>
      <c r="E77" s="38">
        <f>IFERROR(VLOOKUP(B77,Boligforhold!$A$3:$M$119,13,FALSE),"")</f>
        <v>0.77639002131400048</v>
      </c>
      <c r="F77" s="32">
        <f>IFERROR(VLOOKUP(B77,Pendling!$A$3:$G$102,7,FALSE),"")</f>
        <v>0.98942754108577491</v>
      </c>
    </row>
    <row r="78" spans="2:6" ht="12.75" customHeight="1" x14ac:dyDescent="0.25">
      <c r="B78" s="36" t="s">
        <v>111</v>
      </c>
      <c r="C78" s="37">
        <f>IFERROR(VLOOKUP(B78,Boligforhold!$A$3:$M$119,9,FALSE),"")</f>
        <v>58582</v>
      </c>
      <c r="D78" s="54">
        <f t="shared" si="1"/>
        <v>0.74107223789531484</v>
      </c>
      <c r="E78" s="38">
        <f>IFERROR(VLOOKUP(B78,Boligforhold!$A$3:$M$119,13,FALSE),"")</f>
        <v>0.47907926872116202</v>
      </c>
      <c r="F78" s="32">
        <f>IFERROR(VLOOKUP(B78,Pendling!$A$3:$G$102,7,FALSE),"")</f>
        <v>1.0030652070694677</v>
      </c>
    </row>
    <row r="79" spans="2:6" ht="12.75" customHeight="1" x14ac:dyDescent="0.25">
      <c r="B79" s="36" t="s">
        <v>112</v>
      </c>
      <c r="C79" s="37">
        <f>IFERROR(VLOOKUP(B79,Boligforhold!$A$3:$M$119,9,FALSE),"")</f>
        <v>48270</v>
      </c>
      <c r="D79" s="54">
        <f t="shared" si="1"/>
        <v>0.58323967750723449</v>
      </c>
      <c r="E79" s="38">
        <f>IFERROR(VLOOKUP(B79,Boligforhold!$A$3:$M$119,13,FALSE),"")</f>
        <v>0.26214057708442762</v>
      </c>
      <c r="F79" s="32">
        <f>IFERROR(VLOOKUP(B79,Pendling!$A$3:$G$102,7,FALSE),"")</f>
        <v>0.90433877793004136</v>
      </c>
    </row>
    <row r="80" spans="2:6" ht="12.75" customHeight="1" x14ac:dyDescent="0.25">
      <c r="B80" s="36" t="s">
        <v>113</v>
      </c>
      <c r="C80" s="37">
        <f>IFERROR(VLOOKUP(B80,Boligforhold!$A$3:$M$119,9,FALSE),"")</f>
        <v>46626</v>
      </c>
      <c r="D80" s="54">
        <f t="shared" si="1"/>
        <v>0.58896306327881809</v>
      </c>
      <c r="E80" s="38">
        <f>IFERROR(VLOOKUP(B80,Boligforhold!$A$3:$M$119,13,FALSE),"")</f>
        <v>0.22091035587111751</v>
      </c>
      <c r="F80" s="32">
        <f>IFERROR(VLOOKUP(B80,Pendling!$A$3:$G$102,7,FALSE),"")</f>
        <v>0.95701577068651877</v>
      </c>
    </row>
    <row r="81" spans="2:6" ht="12.75" customHeight="1" x14ac:dyDescent="0.25">
      <c r="B81" s="36" t="s">
        <v>114</v>
      </c>
      <c r="C81" s="37">
        <f>IFERROR(VLOOKUP(B81,Boligforhold!$A$3:$M$119,9,FALSE),"")</f>
        <v>90586</v>
      </c>
      <c r="D81" s="54">
        <f t="shared" si="1"/>
        <v>0.90153164365283533</v>
      </c>
      <c r="E81" s="38">
        <f>IFERROR(VLOOKUP(B81,Boligforhold!$A$3:$M$119,13,FALSE),"")</f>
        <v>0.81385949326623874</v>
      </c>
      <c r="F81" s="32">
        <f>IFERROR(VLOOKUP(B81,Pendling!$A$3:$G$102,7,FALSE),"")</f>
        <v>0.98920379403943204</v>
      </c>
    </row>
    <row r="82" spans="2:6" ht="12.75" customHeight="1" x14ac:dyDescent="0.25">
      <c r="B82" s="36" t="s">
        <v>115</v>
      </c>
      <c r="C82" s="37">
        <f>IFERROR(VLOOKUP(B82,Boligforhold!$A$3:$M$119,9,FALSE),"")</f>
        <v>37002</v>
      </c>
      <c r="D82" s="54">
        <f t="shared" si="1"/>
        <v>0.66727653570035639</v>
      </c>
      <c r="E82" s="38">
        <f>IFERROR(VLOOKUP(B82,Boligforhold!$A$3:$M$119,13,FALSE),"")</f>
        <v>0.40664754625135702</v>
      </c>
      <c r="F82" s="32">
        <f>IFERROR(VLOOKUP(B82,Pendling!$A$3:$G$102,7,FALSE),"")</f>
        <v>0.92790552514935576</v>
      </c>
    </row>
    <row r="83" spans="2:6" ht="12.75" customHeight="1" x14ac:dyDescent="0.25">
      <c r="B83" s="36" t="s">
        <v>116</v>
      </c>
      <c r="C83" s="37">
        <f>IFERROR(VLOOKUP(B83,Boligforhold!$A$3:$M$119,9,FALSE),"")</f>
        <v>22742</v>
      </c>
      <c r="D83" s="54">
        <f t="shared" si="1"/>
        <v>0.66957694273619517</v>
      </c>
      <c r="E83" s="38">
        <f>IFERROR(VLOOKUP(B83,Boligforhold!$A$3:$M$119,13,FALSE),"")</f>
        <v>0.49149987239645143</v>
      </c>
      <c r="F83" s="32">
        <f>IFERROR(VLOOKUP(B83,Pendling!$A$3:$G$102,7,FALSE),"")</f>
        <v>0.84765401307593891</v>
      </c>
    </row>
    <row r="84" spans="2:6" ht="12.75" customHeight="1" x14ac:dyDescent="0.25">
      <c r="B84" s="36" t="s">
        <v>117</v>
      </c>
      <c r="C84" s="37">
        <f>IFERROR(VLOOKUP(B84,Boligforhold!$A$3:$M$119,9,FALSE),"")</f>
        <v>97010</v>
      </c>
      <c r="D84" s="54">
        <f t="shared" si="1"/>
        <v>0.93210209102891506</v>
      </c>
      <c r="E84" s="38">
        <f>IFERROR(VLOOKUP(B84,Boligforhold!$A$3:$M$119,13,FALSE),"")</f>
        <v>0.93363694703318967</v>
      </c>
      <c r="F84" s="32">
        <f>IFERROR(VLOOKUP(B84,Pendling!$A$3:$G$102,7,FALSE),"")</f>
        <v>0.93056723502464034</v>
      </c>
    </row>
    <row r="85" spans="2:6" ht="12.75" customHeight="1" x14ac:dyDescent="0.25">
      <c r="B85" s="36" t="s">
        <v>118</v>
      </c>
      <c r="C85" s="37">
        <f>IFERROR(VLOOKUP(B85,Boligforhold!$A$3:$M$119,9,FALSE),"")</f>
        <v>3646</v>
      </c>
      <c r="D85" s="54">
        <f t="shared" si="1"/>
        <v>0.54491623326499861</v>
      </c>
      <c r="E85" s="38">
        <f>IFERROR(VLOOKUP(B85,Boligforhold!$A$3:$M$119,13,FALSE),"")</f>
        <v>0.14726999692050757</v>
      </c>
      <c r="F85" s="32">
        <f>IFERROR(VLOOKUP(B85,Pendling!$A$3:$G$102,7,FALSE),"")</f>
        <v>0.94256246960948975</v>
      </c>
    </row>
    <row r="86" spans="2:6" ht="12.75" customHeight="1" x14ac:dyDescent="0.25">
      <c r="B86" s="36" t="s">
        <v>119</v>
      </c>
      <c r="C86" s="37">
        <f>IFERROR(VLOOKUP(B86,Boligforhold!$A$3:$M$119,9,FALSE),"")</f>
        <v>93673</v>
      </c>
      <c r="D86" s="54">
        <f t="shared" si="1"/>
        <v>0.75409768852822867</v>
      </c>
      <c r="E86" s="38">
        <f>IFERROR(VLOOKUP(B86,Boligforhold!$A$3:$M$119,13,FALSE),"")</f>
        <v>0.57177241263465206</v>
      </c>
      <c r="F86" s="32">
        <f>IFERROR(VLOOKUP(B86,Pendling!$A$3:$G$102,7,FALSE),"")</f>
        <v>0.93642296442180528</v>
      </c>
    </row>
    <row r="87" spans="2:6" ht="12.75" customHeight="1" x14ac:dyDescent="0.25">
      <c r="B87" s="36" t="s">
        <v>120</v>
      </c>
      <c r="C87" s="37">
        <f>IFERROR(VLOOKUP(B87,Boligforhold!$A$3:$M$119,9,FALSE),"")</f>
        <v>62439</v>
      </c>
      <c r="D87" s="54">
        <f t="shared" si="1"/>
        <v>0.67198083978494938</v>
      </c>
      <c r="E87" s="38">
        <f>IFERROR(VLOOKUP(B87,Boligforhold!$A$3:$M$119,13,FALSE),"")</f>
        <v>0.39862533425398938</v>
      </c>
      <c r="F87" s="32">
        <f>IFERROR(VLOOKUP(B87,Pendling!$A$3:$G$102,7,FALSE),"")</f>
        <v>0.94533634531590938</v>
      </c>
    </row>
    <row r="88" spans="2:6" ht="12.75" customHeight="1" x14ac:dyDescent="0.25">
      <c r="B88" s="36" t="s">
        <v>121</v>
      </c>
      <c r="C88" s="37">
        <f>IFERROR(VLOOKUP(B88,Boligforhold!$A$3:$M$119,9,FALSE),"")</f>
        <v>42835</v>
      </c>
      <c r="D88" s="54">
        <f t="shared" si="1"/>
        <v>0.54375207018075888</v>
      </c>
      <c r="E88" s="38">
        <f>IFERROR(VLOOKUP(B88,Boligforhold!$A$3:$M$119,13,FALSE),"")</f>
        <v>0.24411457400931247</v>
      </c>
      <c r="F88" s="32">
        <f>IFERROR(VLOOKUP(B88,Pendling!$A$3:$G$102,7,FALSE),"")</f>
        <v>0.8433895663522053</v>
      </c>
    </row>
    <row r="89" spans="2:6" ht="12.75" customHeight="1" x14ac:dyDescent="0.25">
      <c r="B89" s="36" t="s">
        <v>122</v>
      </c>
      <c r="C89" s="37">
        <f>IFERROR(VLOOKUP(B89,Boligforhold!$A$3:$M$119,9,FALSE),"")</f>
        <v>347726</v>
      </c>
      <c r="D89" s="54">
        <f t="shared" si="1"/>
        <v>1.2514417101879141</v>
      </c>
      <c r="E89" s="38">
        <f>IFERROR(VLOOKUP(B89,Boligforhold!$A$3:$M$119,13,FALSE),"")</f>
        <v>1.4205349762550803</v>
      </c>
      <c r="F89" s="32">
        <f>IFERROR(VLOOKUP(B89,Pendling!$A$3:$G$102,7,FALSE),"")</f>
        <v>1.082348444120748</v>
      </c>
    </row>
    <row r="90" spans="2:6" ht="12.75" customHeight="1" x14ac:dyDescent="0.25">
      <c r="B90" s="36" t="s">
        <v>123</v>
      </c>
      <c r="C90" s="37">
        <f>IFERROR(VLOOKUP(B90,Boligforhold!$A$3:$M$119,9,FALSE),"")</f>
        <v>88834</v>
      </c>
      <c r="D90" s="54">
        <f t="shared" si="1"/>
        <v>0.86142525580592633</v>
      </c>
      <c r="E90" s="38">
        <f>IFERROR(VLOOKUP(B90,Boligforhold!$A$3:$M$119,13,FALSE),"")</f>
        <v>0.68729775846168428</v>
      </c>
      <c r="F90" s="32">
        <f>IFERROR(VLOOKUP(B90,Pendling!$A$3:$G$102,7,FALSE),"")</f>
        <v>1.0355527531501685</v>
      </c>
    </row>
    <row r="91" spans="2:6" ht="12.75" customHeight="1" x14ac:dyDescent="0.25">
      <c r="B91" s="36" t="s">
        <v>124</v>
      </c>
      <c r="C91" s="37">
        <f>IFERROR(VLOOKUP(B91,Boligforhold!$A$3:$M$119,9,FALSE),"")</f>
        <v>58464</v>
      </c>
      <c r="D91" s="54">
        <f t="shared" si="1"/>
        <v>0.80516488073134396</v>
      </c>
      <c r="E91" s="38">
        <f>IFERROR(VLOOKUP(B91,Boligforhold!$A$3:$M$119,13,FALSE),"")</f>
        <v>0.57571957387507933</v>
      </c>
      <c r="F91" s="32">
        <f>IFERROR(VLOOKUP(B91,Pendling!$A$3:$G$102,7,FALSE),"")</f>
        <v>1.0346101875876086</v>
      </c>
    </row>
    <row r="92" spans="2:6" ht="12.75" customHeight="1" x14ac:dyDescent="0.25">
      <c r="B92" s="36" t="s">
        <v>125</v>
      </c>
      <c r="C92" s="37">
        <f>IFERROR(VLOOKUP(B92,Boligforhold!$A$3:$M$119,9,FALSE),"")</f>
        <v>41227</v>
      </c>
      <c r="D92" s="54">
        <f t="shared" si="1"/>
        <v>0.7477061999552489</v>
      </c>
      <c r="E92" s="38">
        <f>IFERROR(VLOOKUP(B92,Boligforhold!$A$3:$M$119,13,FALSE),"")</f>
        <v>0.43865318959533073</v>
      </c>
      <c r="F92" s="32">
        <f>IFERROR(VLOOKUP(B92,Pendling!$A$3:$G$102,7,FALSE),"")</f>
        <v>1.0567592103151671</v>
      </c>
    </row>
    <row r="93" spans="2:6" ht="12.75" customHeight="1" x14ac:dyDescent="0.25">
      <c r="B93" s="36" t="s">
        <v>126</v>
      </c>
      <c r="C93" s="37">
        <f>IFERROR(VLOOKUP(B93,Boligforhold!$A$3:$M$119,9,FALSE),"")</f>
        <v>19686</v>
      </c>
      <c r="D93" s="54">
        <f t="shared" si="1"/>
        <v>0.6411145872409052</v>
      </c>
      <c r="E93" s="38">
        <f>IFERROR(VLOOKUP(B93,Boligforhold!$A$3:$M$119,13,FALSE),"")</f>
        <v>0.30735644420218011</v>
      </c>
      <c r="F93" s="32">
        <f>IFERROR(VLOOKUP(B93,Pendling!$A$3:$G$102,7,FALSE),"")</f>
        <v>0.97487273027963028</v>
      </c>
    </row>
    <row r="94" spans="2:6" ht="12.75" customHeight="1" x14ac:dyDescent="0.25">
      <c r="B94" s="36" t="s">
        <v>127</v>
      </c>
      <c r="C94" s="37">
        <f>IFERROR(VLOOKUP(B94,Boligforhold!$A$3:$M$119,9,FALSE),"")</f>
        <v>56423</v>
      </c>
      <c r="D94" s="54">
        <f t="shared" si="1"/>
        <v>0.6464727068589734</v>
      </c>
      <c r="E94" s="38">
        <f>IFERROR(VLOOKUP(B94,Boligforhold!$A$3:$M$119,13,FALSE),"")</f>
        <v>0.25563891803372729</v>
      </c>
      <c r="F94" s="32">
        <f>IFERROR(VLOOKUP(B94,Pendling!$A$3:$G$102,7,FALSE),"")</f>
        <v>1.0373064956842195</v>
      </c>
    </row>
    <row r="95" spans="2:6" ht="12.75" customHeight="1" x14ac:dyDescent="0.25">
      <c r="B95" s="36" t="s">
        <v>128</v>
      </c>
      <c r="C95" s="37">
        <f>IFERROR(VLOOKUP(B95,Boligforhold!$A$3:$M$119,9,FALSE),"")</f>
        <v>45729</v>
      </c>
      <c r="D95" s="54">
        <f t="shared" si="1"/>
        <v>0.75093257926345336</v>
      </c>
      <c r="E95" s="38">
        <f>IFERROR(VLOOKUP(B95,Boligforhold!$A$3:$M$119,13,FALSE),"")</f>
        <v>0.52422655104600313</v>
      </c>
      <c r="F95" s="32">
        <f>IFERROR(VLOOKUP(B95,Pendling!$A$3:$G$102,7,FALSE),"")</f>
        <v>0.9776386074809037</v>
      </c>
    </row>
    <row r="96" spans="2:6" ht="12.75" customHeight="1" x14ac:dyDescent="0.25">
      <c r="B96" s="36" t="s">
        <v>129</v>
      </c>
      <c r="C96" s="37">
        <f>IFERROR(VLOOKUP(B96,Boligforhold!$A$3:$M$119,9,FALSE),"")</f>
        <v>20938</v>
      </c>
      <c r="D96" s="54">
        <f t="shared" si="1"/>
        <v>0.71030622377827435</v>
      </c>
      <c r="E96" s="38">
        <f>IFERROR(VLOOKUP(B96,Boligforhold!$A$3:$M$119,13,FALSE),"")</f>
        <v>0.5263735109942651</v>
      </c>
      <c r="F96" s="32">
        <f>IFERROR(VLOOKUP(B96,Pendling!$A$3:$G$102,7,FALSE),"")</f>
        <v>0.89423893656228359</v>
      </c>
    </row>
    <row r="97" spans="2:6" ht="12.75" customHeight="1" x14ac:dyDescent="0.25">
      <c r="B97" s="36" t="s">
        <v>130</v>
      </c>
      <c r="C97" s="37">
        <f>IFERROR(VLOOKUP(B97,Boligforhold!$A$3:$M$119,9,FALSE),"")</f>
        <v>96644</v>
      </c>
      <c r="D97" s="54">
        <f t="shared" si="1"/>
        <v>0.78008891771978517</v>
      </c>
      <c r="E97" s="38">
        <f>IFERROR(VLOOKUP(B97,Boligforhold!$A$3:$M$119,13,FALSE),"")</f>
        <v>0.5347653130108404</v>
      </c>
      <c r="F97" s="32">
        <f>IFERROR(VLOOKUP(B97,Pendling!$A$3:$G$102,7,FALSE),"")</f>
        <v>1.0254125224287298</v>
      </c>
    </row>
    <row r="98" spans="2:6" ht="12.75" customHeight="1" x14ac:dyDescent="0.25">
      <c r="B98" s="36" t="s">
        <v>131</v>
      </c>
      <c r="C98" s="37">
        <f>IFERROR(VLOOKUP(B98,Boligforhold!$A$3:$M$119,9,FALSE),"")</f>
        <v>36108</v>
      </c>
      <c r="D98" s="54">
        <f t="shared" si="1"/>
        <v>0.60830232322716438</v>
      </c>
      <c r="E98" s="38">
        <f>IFERROR(VLOOKUP(B98,Boligforhold!$A$3:$M$119,13,FALSE),"")</f>
        <v>0.3444023160286771</v>
      </c>
      <c r="F98" s="32">
        <f>IFERROR(VLOOKUP(B98,Pendling!$A$3:$G$102,7,FALSE),"")</f>
        <v>0.87220233042565165</v>
      </c>
    </row>
    <row r="99" spans="2:6" ht="12.75" customHeight="1" x14ac:dyDescent="0.25">
      <c r="B99" s="36" t="s">
        <v>132</v>
      </c>
      <c r="C99" s="37">
        <f>IFERROR(VLOOKUP(B99,Boligforhold!$A$3:$M$119,9,FALSE),"")</f>
        <v>59568</v>
      </c>
      <c r="D99" s="54">
        <f t="shared" si="1"/>
        <v>0.74550272351556646</v>
      </c>
      <c r="E99" s="38">
        <f>IFERROR(VLOOKUP(B99,Boligforhold!$A$3:$M$119,13,FALSE),"")</f>
        <v>0.53095080595751643</v>
      </c>
      <c r="F99" s="32">
        <f>IFERROR(VLOOKUP(B99,Pendling!$A$3:$G$102,7,FALSE),"")</f>
        <v>0.96005464107361638</v>
      </c>
    </row>
    <row r="100" spans="2:6" ht="12.75" customHeight="1" x14ac:dyDescent="0.25">
      <c r="B100" s="36" t="s">
        <v>133</v>
      </c>
      <c r="C100" s="37">
        <f>IFERROR(VLOOKUP(B100,Boligforhold!$A$3:$M$119,9,FALSE),"")</f>
        <v>64204</v>
      </c>
      <c r="D100" s="54">
        <f t="shared" si="1"/>
        <v>0.71679108285029125</v>
      </c>
      <c r="E100" s="38">
        <f>IFERROR(VLOOKUP(B100,Boligforhold!$A$3:$M$119,13,FALSE),"")</f>
        <v>0.45896858316330325</v>
      </c>
      <c r="F100" s="32">
        <f>IFERROR(VLOOKUP(B100,Pendling!$A$3:$G$102,7,FALSE),"")</f>
        <v>0.97461358253727925</v>
      </c>
    </row>
    <row r="101" spans="2:6" ht="12.75" customHeight="1" x14ac:dyDescent="0.25">
      <c r="B101" s="36" t="s">
        <v>134</v>
      </c>
      <c r="C101" s="37">
        <f>IFERROR(VLOOKUP(B101,Boligforhold!$A$3:$M$119,9,FALSE),"")</f>
        <v>38170</v>
      </c>
      <c r="D101" s="54">
        <f t="shared" si="1"/>
        <v>0.52300996624232798</v>
      </c>
      <c r="E101" s="38">
        <f>IFERROR(VLOOKUP(B101,Boligforhold!$A$3:$M$119,13,FALSE),"")</f>
        <v>0.15787458315484004</v>
      </c>
      <c r="F101" s="32">
        <f>IFERROR(VLOOKUP(B101,Pendling!$A$3:$G$102,7,FALSE),"")</f>
        <v>0.88814534932981593</v>
      </c>
    </row>
    <row r="102" spans="2:6" ht="12.75" customHeight="1" x14ac:dyDescent="0.25">
      <c r="B102" s="36" t="s">
        <v>135</v>
      </c>
      <c r="C102" s="37">
        <f>IFERROR(VLOOKUP(B102,Boligforhold!$A$3:$M$119,9,FALSE),"")</f>
        <v>1773</v>
      </c>
      <c r="D102" s="54">
        <f t="shared" si="1"/>
        <v>0.51097140209213388</v>
      </c>
      <c r="E102" s="38">
        <f>IFERROR(VLOOKUP(B102,Boligforhold!$A$3:$M$119,13,FALSE),"")</f>
        <v>6.7491450945498799E-2</v>
      </c>
      <c r="F102" s="32">
        <f>IFERROR(VLOOKUP(B102,Pendling!$A$3:$G$102,7,FALSE),"")</f>
        <v>0.95445135323876895</v>
      </c>
    </row>
    <row r="103" spans="2:6" ht="12.75" customHeight="1" x14ac:dyDescent="0.25">
      <c r="B103" s="36" t="s">
        <v>136</v>
      </c>
      <c r="C103" s="37">
        <f>IFERROR(VLOOKUP(B103,Boligforhold!$A$3:$M$119,9,FALSE),"")</f>
        <v>41728</v>
      </c>
      <c r="D103" s="54">
        <f t="shared" si="1"/>
        <v>0.71974074969896207</v>
      </c>
      <c r="E103" s="38">
        <f>IFERROR(VLOOKUP(B103,Boligforhold!$A$3:$M$119,13,FALSE),"")</f>
        <v>0.43912192610476042</v>
      </c>
      <c r="F103" s="32">
        <f>IFERROR(VLOOKUP(B103,Pendling!$A$3:$G$102,7,FALSE),"")</f>
        <v>1.0003595732931636</v>
      </c>
    </row>
    <row r="104" spans="2:6" ht="12.75" customHeight="1" x14ac:dyDescent="0.25">
      <c r="B104" s="36" t="s">
        <v>137</v>
      </c>
      <c r="C104" s="37">
        <f>IFERROR(VLOOKUP(B104,Boligforhold!$A$3:$M$119,9,FALSE),"")</f>
        <v>20189</v>
      </c>
      <c r="D104" s="54">
        <f t="shared" si="1"/>
        <v>0.64921821256923984</v>
      </c>
      <c r="E104" s="38">
        <f>IFERROR(VLOOKUP(B104,Boligforhold!$A$3:$M$119,13,FALSE),"")</f>
        <v>0.32903037014265168</v>
      </c>
      <c r="F104" s="32">
        <f>IFERROR(VLOOKUP(B104,Pendling!$A$3:$G$102,7,FALSE),"")</f>
        <v>0.9694060549958281</v>
      </c>
    </row>
    <row r="105" spans="2:6" ht="12.75" customHeight="1" x14ac:dyDescent="0.25">
      <c r="B105" s="36" t="s">
        <v>138</v>
      </c>
      <c r="C105" s="37">
        <f>IFERROR(VLOOKUP(B105,Boligforhold!$A$3:$M$119,9,FALSE),"")</f>
        <v>30014</v>
      </c>
      <c r="D105" s="54">
        <f t="shared" si="1"/>
        <v>0.54599178805119375</v>
      </c>
      <c r="E105" s="38">
        <f>IFERROR(VLOOKUP(B105,Boligforhold!$A$3:$M$119,13,FALSE),"")</f>
        <v>0.2026154998498686</v>
      </c>
      <c r="F105" s="32">
        <f>IFERROR(VLOOKUP(B105,Pendling!$A$3:$G$102,7,FALSE),"")</f>
        <v>0.88936807625251879</v>
      </c>
    </row>
    <row r="106" spans="2:6" ht="12.75" customHeight="1" x14ac:dyDescent="0.25">
      <c r="B106" s="36" t="s">
        <v>139</v>
      </c>
      <c r="C106" s="37">
        <f>IFERROR(VLOOKUP(B106,Boligforhold!$A$3:$M$119,9,FALSE),"")</f>
        <v>43324</v>
      </c>
      <c r="D106" s="54">
        <f t="shared" si="1"/>
        <v>0.67997615494187391</v>
      </c>
      <c r="E106" s="38">
        <f>IFERROR(VLOOKUP(B106,Boligforhold!$A$3:$M$119,13,FALSE),"")</f>
        <v>0.34858280121564078</v>
      </c>
      <c r="F106" s="32">
        <f>IFERROR(VLOOKUP(B106,Pendling!$A$3:$G$102,7,FALSE),"")</f>
        <v>1.0113695086681069</v>
      </c>
    </row>
    <row r="107" spans="2:6" ht="12.75" customHeight="1" x14ac:dyDescent="0.25">
      <c r="B107" s="36" t="s">
        <v>140</v>
      </c>
      <c r="C107" s="37">
        <f>IFERROR(VLOOKUP(B107,Boligforhold!$A$3:$M$119,9,FALSE),"")</f>
        <v>36581</v>
      </c>
      <c r="D107" s="54">
        <f t="shared" si="1"/>
        <v>0.65173421942734255</v>
      </c>
      <c r="E107" s="38">
        <f>IFERROR(VLOOKUP(B107,Boligforhold!$A$3:$M$119,13,FALSE),"")</f>
        <v>0.32527083508901611</v>
      </c>
      <c r="F107" s="32">
        <f>IFERROR(VLOOKUP(B107,Pendling!$A$3:$G$102,7,FALSE),"")</f>
        <v>0.97819760376566911</v>
      </c>
    </row>
    <row r="108" spans="2:6" ht="12.75" customHeight="1" x14ac:dyDescent="0.25">
      <c r="B108" s="36" t="s">
        <v>141</v>
      </c>
      <c r="C108" s="37">
        <f>IFERROR(VLOOKUP(B108,Boligforhold!$A$3:$M$119,9,FALSE),"")</f>
        <v>215430</v>
      </c>
      <c r="D108" s="54">
        <f t="shared" si="1"/>
        <v>1.0977464795592096</v>
      </c>
      <c r="E108" s="38">
        <f>IFERROR(VLOOKUP(B108,Boligforhold!$A$3:$M$119,13,FALSE),"")</f>
        <v>1.1709341993964293</v>
      </c>
      <c r="F108" s="32">
        <f>IFERROR(VLOOKUP(B108,Pendling!$A$3:$G$102,7,FALSE),"")</f>
        <v>1.0245587597219896</v>
      </c>
    </row>
    <row r="109" spans="2:6" ht="12.75" customHeight="1" x14ac:dyDescent="0.2">
      <c r="E109" s="50"/>
    </row>
  </sheetData>
  <pageMargins left="0.23622047244094491" right="0.23622047244094491" top="0.74803149606299213" bottom="0.74803149606299213" header="0.31496062992125984" footer="0.31496062992125984"/>
  <pageSetup paperSize="9" fitToWidth="0" fitToHeight="0" orientation="landscape" r:id="rId1"/>
  <headerFooter>
    <oddHeader xml:space="preserve">&amp;L&amp;G&amp;R&amp;18 </oddHeader>
    <oddFooter>&amp;C&amp;"Verdana,Regular"&amp;8&amp;P / &amp;K000000&amp;N&amp;LRM2644Z3JAHN-1315876101-408</oddFooter>
    <firstHeader xml:space="preserve">&amp;L&amp;G&amp;R&amp;18 </firstHeader>
    <firstFooter xml:space="preserve">&amp;L&amp;"Verdana,Regular"&amp;8NIRAS A/S
Sortemosevej 19
3450 Allerød, Denmark&amp;C&amp;8Reg. No. 37295728 Denmark
FRI, FIDIC
www.niras.com&amp;R&amp;"Verdana,Regular"&amp;8T: +45 4810 4200   
F: +45 4810 4300 
E: niras@niras.dk  </first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Ruler="0" zoomScaleNormal="100" zoomScaleSheetLayoutView="400" zoomScalePageLayoutView="55" workbookViewId="0">
      <selection activeCell="F10" sqref="F10"/>
    </sheetView>
  </sheetViews>
  <sheetFormatPr defaultRowHeight="12.75" customHeight="1" x14ac:dyDescent="0.25"/>
  <cols>
    <col min="1" max="1" width="19.140625" style="41" customWidth="1"/>
    <col min="2" max="2" width="33.140625" customWidth="1"/>
    <col min="3" max="3" width="38" customWidth="1"/>
    <col min="4" max="4" width="37.7109375" style="40" bestFit="1" customWidth="1"/>
    <col min="5" max="5" width="16.28515625" bestFit="1" customWidth="1"/>
    <col min="6" max="6" width="26.28515625" bestFit="1" customWidth="1"/>
  </cols>
  <sheetData>
    <row r="1" spans="1:9" ht="12.75" customHeight="1" x14ac:dyDescent="0.25">
      <c r="A1" s="7" t="s">
        <v>189</v>
      </c>
    </row>
    <row r="3" spans="1:9" s="7" customFormat="1" ht="15" x14ac:dyDescent="0.25">
      <c r="A3" s="7" t="s">
        <v>28</v>
      </c>
      <c r="B3" s="33" t="s">
        <v>190</v>
      </c>
      <c r="C3" s="33" t="s">
        <v>191</v>
      </c>
      <c r="D3" s="42" t="s">
        <v>192</v>
      </c>
      <c r="E3" s="35" t="s">
        <v>35</v>
      </c>
      <c r="F3" s="7" t="s">
        <v>193</v>
      </c>
      <c r="G3" s="7" t="s">
        <v>194</v>
      </c>
    </row>
    <row r="4" spans="1:9" s="7" customFormat="1" ht="15" x14ac:dyDescent="0.25">
      <c r="A4" s="41" t="s">
        <v>188</v>
      </c>
      <c r="B4" s="46">
        <f>SUM(B5:B102)</f>
        <v>2895902</v>
      </c>
      <c r="C4" s="46">
        <f>SUM(C5:C102)</f>
        <v>2890286</v>
      </c>
      <c r="D4" s="43">
        <f>C4/E4</f>
        <v>0.4990173438847505</v>
      </c>
      <c r="E4" s="47">
        <f>SUM(E5:E102)</f>
        <v>5791955</v>
      </c>
      <c r="F4" s="40" t="str">
        <f>IF(IFERROR(VLOOKUP(A4,Boligforhold!$A$3:$M$119,12,FALSE),"")=0,"",IFERROR(VLOOKUP(A4,Boligforhold!$A$3:$M$119,12,FALSE),""))</f>
        <v/>
      </c>
      <c r="G4" s="49">
        <f>D4-$D$4+1</f>
        <v>1</v>
      </c>
      <c r="I4" s="48"/>
    </row>
    <row r="5" spans="1:9" ht="15" x14ac:dyDescent="0.25">
      <c r="A5" s="8" t="s">
        <v>46</v>
      </c>
      <c r="B5" s="34">
        <v>6987</v>
      </c>
      <c r="C5" s="34">
        <v>3207</v>
      </c>
      <c r="D5" s="43">
        <f t="shared" ref="D5:D68" si="0">C5/E5</f>
        <v>0.22309565217391306</v>
      </c>
      <c r="E5" s="34">
        <f>IFERROR(VLOOKUP(A5,Belastningsfaktor!$B$9:$E$108,2,FALSE),"")</f>
        <v>14375</v>
      </c>
      <c r="F5" s="40"/>
      <c r="G5" s="49">
        <f t="shared" ref="G5:G35" si="1">D5-$D$4+1</f>
        <v>0.72407830828916253</v>
      </c>
    </row>
    <row r="6" spans="1:9" ht="15" x14ac:dyDescent="0.25">
      <c r="A6" s="8" t="s">
        <v>77</v>
      </c>
      <c r="B6" s="34">
        <v>12016</v>
      </c>
      <c r="C6" s="34">
        <v>6319</v>
      </c>
      <c r="D6" s="43">
        <f t="shared" si="0"/>
        <v>0.2788368193451593</v>
      </c>
      <c r="E6" s="34">
        <f>IFERROR(VLOOKUP(A6,Belastningsfaktor!$B$9:$E$108,2,FALSE),"")</f>
        <v>22662</v>
      </c>
      <c r="F6" s="40"/>
      <c r="G6" s="49">
        <f t="shared" si="1"/>
        <v>0.77981947546040886</v>
      </c>
    </row>
    <row r="7" spans="1:9" ht="15" x14ac:dyDescent="0.25">
      <c r="A7" s="8" t="s">
        <v>62</v>
      </c>
      <c r="B7" s="34">
        <v>22902</v>
      </c>
      <c r="C7" s="34">
        <v>12153</v>
      </c>
      <c r="D7" s="43">
        <f t="shared" si="0"/>
        <v>0.2814432273453602</v>
      </c>
      <c r="E7" s="34">
        <f>IFERROR(VLOOKUP(A7,Belastningsfaktor!$B$9:$E$108,2,FALSE),"")</f>
        <v>43181</v>
      </c>
      <c r="F7" s="40"/>
      <c r="G7" s="49">
        <f t="shared" si="1"/>
        <v>0.78242588346060971</v>
      </c>
    </row>
    <row r="8" spans="1:9" ht="15" x14ac:dyDescent="0.25">
      <c r="A8" s="8" t="s">
        <v>88</v>
      </c>
      <c r="B8" s="34">
        <v>11338</v>
      </c>
      <c r="C8" s="34">
        <v>6184</v>
      </c>
      <c r="D8" s="43">
        <f t="shared" si="0"/>
        <v>0.27259102530194834</v>
      </c>
      <c r="E8" s="34">
        <f>IFERROR(VLOOKUP(A8,Belastningsfaktor!$B$9:$E$108,2,FALSE),"")</f>
        <v>22686</v>
      </c>
      <c r="F8" s="40"/>
      <c r="G8" s="49">
        <f t="shared" si="1"/>
        <v>0.77357368141719784</v>
      </c>
    </row>
    <row r="9" spans="1:9" ht="15" x14ac:dyDescent="0.25">
      <c r="A9" s="8" t="s">
        <v>75</v>
      </c>
      <c r="B9" s="34">
        <v>14212</v>
      </c>
      <c r="C9" s="34">
        <v>8178</v>
      </c>
      <c r="D9" s="43">
        <f t="shared" si="0"/>
        <v>0.29470270270270271</v>
      </c>
      <c r="E9" s="34">
        <f>IFERROR(VLOOKUP(A9,Belastningsfaktor!$B$9:$E$108,2,FALSE),"")</f>
        <v>27750</v>
      </c>
      <c r="F9" s="40"/>
      <c r="G9" s="49">
        <f t="shared" si="1"/>
        <v>0.79568535881795222</v>
      </c>
    </row>
    <row r="10" spans="1:9" ht="15" x14ac:dyDescent="0.25">
      <c r="A10" s="8" t="s">
        <v>67</v>
      </c>
      <c r="B10" s="34">
        <v>15042</v>
      </c>
      <c r="C10" s="34">
        <v>9197</v>
      </c>
      <c r="D10" s="43">
        <f t="shared" si="0"/>
        <v>0.29508775307215968</v>
      </c>
      <c r="E10" s="34">
        <f>IFERROR(VLOOKUP(A10,Belastningsfaktor!$B$9:$E$108,2,FALSE),"")</f>
        <v>31167</v>
      </c>
      <c r="F10" s="40">
        <f>IF(IFERROR(VLOOKUP(A10,Boligforhold!$A$3:$M$119,12,FALSE),"")=0,"",IFERROR(VLOOKUP(A10,Boligforhold!$A$3:$M$119,12,FALSE),""))</f>
        <v>40.347922890644917</v>
      </c>
      <c r="G10" s="49">
        <f t="shared" si="1"/>
        <v>0.79607040918740912</v>
      </c>
    </row>
    <row r="11" spans="1:9" ht="15" x14ac:dyDescent="0.25">
      <c r="A11" s="8" t="s">
        <v>66</v>
      </c>
      <c r="B11" s="34">
        <v>20434</v>
      </c>
      <c r="C11" s="34">
        <v>13108</v>
      </c>
      <c r="D11" s="43">
        <f t="shared" si="0"/>
        <v>0.32081059252551458</v>
      </c>
      <c r="E11" s="34">
        <f>IFERROR(VLOOKUP(A11,Belastningsfaktor!$B$9:$E$108,2,FALSE),"")</f>
        <v>40859</v>
      </c>
      <c r="F11" s="40"/>
      <c r="G11" s="49">
        <f t="shared" si="1"/>
        <v>0.82179324864076408</v>
      </c>
    </row>
    <row r="12" spans="1:9" ht="15" x14ac:dyDescent="0.25">
      <c r="A12" s="8" t="s">
        <v>63</v>
      </c>
      <c r="B12" s="34">
        <v>19998</v>
      </c>
      <c r="C12" s="34">
        <v>13043</v>
      </c>
      <c r="D12" s="43">
        <f t="shared" si="0"/>
        <v>0.32070322104745513</v>
      </c>
      <c r="E12" s="34">
        <f>IFERROR(VLOOKUP(A12,Belastningsfaktor!$B$9:$E$108,2,FALSE),"")</f>
        <v>40670</v>
      </c>
      <c r="F12" s="40"/>
      <c r="G12" s="49">
        <f t="shared" si="1"/>
        <v>0.82168587716270469</v>
      </c>
    </row>
    <row r="13" spans="1:9" ht="15" x14ac:dyDescent="0.25">
      <c r="A13" s="8" t="s">
        <v>60</v>
      </c>
      <c r="B13" s="34">
        <v>8477</v>
      </c>
      <c r="C13" s="34">
        <v>5754</v>
      </c>
      <c r="D13" s="43">
        <f t="shared" si="0"/>
        <v>0.3470446320868516</v>
      </c>
      <c r="E13" s="34">
        <f>IFERROR(VLOOKUP(A13,Belastningsfaktor!$B$9:$E$108,2,FALSE),"")</f>
        <v>16580</v>
      </c>
      <c r="F13" s="40"/>
      <c r="G13" s="49">
        <f t="shared" si="1"/>
        <v>0.84802728820210116</v>
      </c>
    </row>
    <row r="14" spans="1:9" ht="15" x14ac:dyDescent="0.25">
      <c r="A14" s="8" t="s">
        <v>78</v>
      </c>
      <c r="B14" s="34">
        <v>18196</v>
      </c>
      <c r="C14" s="34">
        <v>12596</v>
      </c>
      <c r="D14" s="43">
        <f t="shared" si="0"/>
        <v>0.34585392641405821</v>
      </c>
      <c r="E14" s="34">
        <f>IFERROR(VLOOKUP(A14,Belastningsfaktor!$B$9:$E$108,2,FALSE),"")</f>
        <v>36420</v>
      </c>
      <c r="F14" s="40"/>
      <c r="G14" s="49">
        <f t="shared" si="1"/>
        <v>0.84683658252930771</v>
      </c>
    </row>
    <row r="15" spans="1:9" ht="15" x14ac:dyDescent="0.25">
      <c r="A15" s="8" t="s">
        <v>65</v>
      </c>
      <c r="B15" s="34">
        <v>20270</v>
      </c>
      <c r="C15" s="34">
        <v>14110</v>
      </c>
      <c r="D15" s="43">
        <f t="shared" si="0"/>
        <v>0.34693877551020408</v>
      </c>
      <c r="E15" s="34">
        <f>IFERROR(VLOOKUP(A15,Belastningsfaktor!$B$9:$E$108,2,FALSE),"")</f>
        <v>40670</v>
      </c>
      <c r="F15" s="40"/>
      <c r="G15" s="49">
        <f t="shared" si="1"/>
        <v>0.84792143162545353</v>
      </c>
    </row>
    <row r="16" spans="1:9" ht="15" x14ac:dyDescent="0.25">
      <c r="A16" s="8" t="s">
        <v>95</v>
      </c>
      <c r="B16" s="34">
        <v>14372</v>
      </c>
      <c r="C16" s="34">
        <v>10098</v>
      </c>
      <c r="D16" s="43">
        <f t="shared" si="0"/>
        <v>0.34173745304409625</v>
      </c>
      <c r="E16" s="34">
        <f>IFERROR(VLOOKUP(A16,Belastningsfaktor!$B$9:$E$108,2,FALSE),"")</f>
        <v>29549</v>
      </c>
      <c r="F16" s="40"/>
      <c r="G16" s="49">
        <f t="shared" si="1"/>
        <v>0.8427201091593457</v>
      </c>
    </row>
    <row r="17" spans="1:7" ht="15" x14ac:dyDescent="0.25">
      <c r="A17" s="8" t="s">
        <v>116</v>
      </c>
      <c r="B17" s="34">
        <v>11182</v>
      </c>
      <c r="C17" s="34">
        <v>7884</v>
      </c>
      <c r="D17" s="43">
        <f t="shared" si="0"/>
        <v>0.34667135696068946</v>
      </c>
      <c r="E17" s="34">
        <f>IFERROR(VLOOKUP(A17,Belastningsfaktor!$B$9:$E$108,2,FALSE),"")</f>
        <v>22742</v>
      </c>
      <c r="F17" s="40"/>
      <c r="G17" s="49">
        <f t="shared" si="1"/>
        <v>0.84765401307593891</v>
      </c>
    </row>
    <row r="18" spans="1:7" ht="15" x14ac:dyDescent="0.25">
      <c r="A18" s="8" t="s">
        <v>121</v>
      </c>
      <c r="B18" s="34">
        <v>20733</v>
      </c>
      <c r="C18" s="34">
        <v>14667</v>
      </c>
      <c r="D18" s="43">
        <f t="shared" si="0"/>
        <v>0.34240691023695574</v>
      </c>
      <c r="E18" s="34">
        <f>IFERROR(VLOOKUP(A18,Belastningsfaktor!$B$9:$E$108,2,FALSE),"")</f>
        <v>42835</v>
      </c>
      <c r="F18" s="40"/>
      <c r="G18" s="49">
        <f t="shared" si="1"/>
        <v>0.8433895663522053</v>
      </c>
    </row>
    <row r="19" spans="1:7" ht="15" x14ac:dyDescent="0.25">
      <c r="A19" s="8" t="s">
        <v>64</v>
      </c>
      <c r="B19" s="34">
        <v>22701</v>
      </c>
      <c r="C19" s="34">
        <v>16477</v>
      </c>
      <c r="D19" s="43">
        <f t="shared" si="0"/>
        <v>0.36580600759274473</v>
      </c>
      <c r="E19" s="34">
        <f>IFERROR(VLOOKUP(A19,Belastningsfaktor!$B$9:$E$108,2,FALSE),"")</f>
        <v>45043</v>
      </c>
      <c r="F19" s="40"/>
      <c r="G19" s="49">
        <f t="shared" si="1"/>
        <v>0.86678866370799423</v>
      </c>
    </row>
    <row r="20" spans="1:7" ht="15" x14ac:dyDescent="0.25">
      <c r="A20" s="8" t="s">
        <v>102</v>
      </c>
      <c r="B20" s="34">
        <v>1533</v>
      </c>
      <c r="C20" s="34">
        <v>1121</v>
      </c>
      <c r="D20" s="43">
        <f t="shared" si="0"/>
        <v>0.32231167337550315</v>
      </c>
      <c r="E20" s="34">
        <f>IFERROR(VLOOKUP(A20,Belastningsfaktor!$B$9:$E$108,2,FALSE),"")</f>
        <v>3478</v>
      </c>
      <c r="F20" s="40"/>
      <c r="G20" s="49">
        <f t="shared" si="1"/>
        <v>0.82329432949075265</v>
      </c>
    </row>
    <row r="21" spans="1:7" ht="15" x14ac:dyDescent="0.25">
      <c r="A21" s="8" t="s">
        <v>73</v>
      </c>
      <c r="B21" s="34">
        <v>25339</v>
      </c>
      <c r="C21" s="34">
        <v>18679</v>
      </c>
      <c r="D21" s="43">
        <f t="shared" si="0"/>
        <v>0.37129283612944264</v>
      </c>
      <c r="E21" s="34">
        <f>IFERROR(VLOOKUP(A21,Belastningsfaktor!$B$9:$E$108,2,FALSE),"")</f>
        <v>50308</v>
      </c>
      <c r="F21" s="40"/>
      <c r="G21" s="49">
        <f t="shared" si="1"/>
        <v>0.87227549224469214</v>
      </c>
    </row>
    <row r="22" spans="1:7" ht="15" x14ac:dyDescent="0.25">
      <c r="A22" s="8" t="s">
        <v>138</v>
      </c>
      <c r="B22" s="34">
        <v>15396</v>
      </c>
      <c r="C22" s="34">
        <v>11657</v>
      </c>
      <c r="D22" s="43">
        <f t="shared" si="0"/>
        <v>0.38838542013726929</v>
      </c>
      <c r="E22" s="34">
        <f>IFERROR(VLOOKUP(A22,Belastningsfaktor!$B$9:$E$108,2,FALSE),"")</f>
        <v>30014</v>
      </c>
      <c r="F22" s="40"/>
      <c r="G22" s="49">
        <f t="shared" si="1"/>
        <v>0.88936807625251879</v>
      </c>
    </row>
    <row r="23" spans="1:7" ht="15" x14ac:dyDescent="0.25">
      <c r="A23" s="8" t="s">
        <v>45</v>
      </c>
      <c r="B23" s="34">
        <v>55824</v>
      </c>
      <c r="C23" s="34">
        <v>42368</v>
      </c>
      <c r="D23" s="43">
        <f t="shared" si="0"/>
        <v>0.40822461603684507</v>
      </c>
      <c r="E23" s="34">
        <f>IFERROR(VLOOKUP(A23,Belastningsfaktor!$B$9:$E$108,2,FALSE),"")</f>
        <v>103786</v>
      </c>
      <c r="F23" s="40"/>
      <c r="G23" s="49">
        <f t="shared" si="1"/>
        <v>0.90920727215209451</v>
      </c>
    </row>
    <row r="24" spans="1:7" ht="15" x14ac:dyDescent="0.25">
      <c r="A24" s="8" t="s">
        <v>68</v>
      </c>
      <c r="B24" s="34">
        <v>30255</v>
      </c>
      <c r="C24" s="34">
        <v>23014</v>
      </c>
      <c r="D24" s="43">
        <f t="shared" si="0"/>
        <v>0.3692401488897446</v>
      </c>
      <c r="E24" s="34">
        <f>IFERROR(VLOOKUP(A24,Belastningsfaktor!$B$9:$E$108,2,FALSE),"")</f>
        <v>62328</v>
      </c>
      <c r="F24" s="40"/>
      <c r="G24" s="49">
        <f t="shared" si="1"/>
        <v>0.87022280500499405</v>
      </c>
    </row>
    <row r="25" spans="1:7" ht="15" x14ac:dyDescent="0.25">
      <c r="A25" s="8" t="s">
        <v>112</v>
      </c>
      <c r="B25" s="34">
        <v>25255</v>
      </c>
      <c r="C25" s="34">
        <v>19470</v>
      </c>
      <c r="D25" s="43">
        <f t="shared" si="0"/>
        <v>0.4033561218147918</v>
      </c>
      <c r="E25" s="34">
        <f>IFERROR(VLOOKUP(A25,Belastningsfaktor!$B$9:$E$108,2,FALSE),"")</f>
        <v>48270</v>
      </c>
      <c r="F25" s="40">
        <f>IF(IFERROR(VLOOKUP(A25,Boligforhold!$A$3:$M$119,12,FALSE),"")=0,"",IFERROR(VLOOKUP(A25,Boligforhold!$A$3:$M$119,12,FALSE),""))</f>
        <v>24.603797756059265</v>
      </c>
      <c r="G25" s="49">
        <f t="shared" si="1"/>
        <v>0.90433877793004136</v>
      </c>
    </row>
    <row r="26" spans="1:7" ht="15" x14ac:dyDescent="0.25">
      <c r="A26" s="8" t="s">
        <v>83</v>
      </c>
      <c r="B26" s="34">
        <v>40520</v>
      </c>
      <c r="C26" s="34">
        <v>31284</v>
      </c>
      <c r="D26" s="43">
        <f t="shared" si="0"/>
        <v>0.37755705475566925</v>
      </c>
      <c r="E26" s="34">
        <f>IFERROR(VLOOKUP(A26,Belastningsfaktor!$B$9:$E$108,2,FALSE),"")</f>
        <v>82859</v>
      </c>
      <c r="F26" s="40"/>
      <c r="G26" s="49">
        <f t="shared" si="1"/>
        <v>0.87853971087091876</v>
      </c>
    </row>
    <row r="27" spans="1:7" ht="15" x14ac:dyDescent="0.25">
      <c r="A27" s="8" t="s">
        <v>131</v>
      </c>
      <c r="B27" s="34">
        <v>17334</v>
      </c>
      <c r="C27" s="34">
        <v>13404</v>
      </c>
      <c r="D27" s="43">
        <f t="shared" si="0"/>
        <v>0.37121967431040215</v>
      </c>
      <c r="E27" s="34">
        <f>IFERROR(VLOOKUP(A27,Belastningsfaktor!$B$9:$E$108,2,FALSE),"")</f>
        <v>36108</v>
      </c>
      <c r="F27" s="40"/>
      <c r="G27" s="49">
        <f t="shared" si="1"/>
        <v>0.87220233042565165</v>
      </c>
    </row>
    <row r="28" spans="1:7" ht="15" x14ac:dyDescent="0.25">
      <c r="A28" s="8" t="s">
        <v>84</v>
      </c>
      <c r="B28" s="34">
        <v>14535</v>
      </c>
      <c r="C28" s="34">
        <v>11309</v>
      </c>
      <c r="D28" s="43">
        <f t="shared" si="0"/>
        <v>0.34447151995126407</v>
      </c>
      <c r="E28" s="34">
        <f>IFERROR(VLOOKUP(A28,Belastningsfaktor!$B$9:$E$108,2,FALSE),"")</f>
        <v>32830</v>
      </c>
      <c r="F28" s="40"/>
      <c r="G28" s="49">
        <f t="shared" si="1"/>
        <v>0.84545417606651352</v>
      </c>
    </row>
    <row r="29" spans="1:7" ht="15" x14ac:dyDescent="0.25">
      <c r="A29" s="8" t="s">
        <v>90</v>
      </c>
      <c r="B29" s="34">
        <v>19488</v>
      </c>
      <c r="C29" s="34">
        <v>15242</v>
      </c>
      <c r="D29" s="43">
        <f t="shared" si="0"/>
        <v>0.37266503667481665</v>
      </c>
      <c r="E29" s="34">
        <f>IFERROR(VLOOKUP(A29,Belastningsfaktor!$B$9:$E$108,2,FALSE),"")</f>
        <v>40900</v>
      </c>
      <c r="F29" s="40"/>
      <c r="G29" s="49">
        <f t="shared" si="1"/>
        <v>0.87364769279006615</v>
      </c>
    </row>
    <row r="30" spans="1:7" ht="15" x14ac:dyDescent="0.25">
      <c r="A30" s="8" t="s">
        <v>96</v>
      </c>
      <c r="B30" s="34">
        <v>14417</v>
      </c>
      <c r="C30" s="34">
        <v>11300</v>
      </c>
      <c r="D30" s="43">
        <f t="shared" si="0"/>
        <v>0.35377727685419991</v>
      </c>
      <c r="E30" s="34">
        <f>IFERROR(VLOOKUP(A30,Belastningsfaktor!$B$9:$E$108,2,FALSE),"")</f>
        <v>31941</v>
      </c>
      <c r="F30" s="40"/>
      <c r="G30" s="49">
        <f t="shared" si="1"/>
        <v>0.85475993296944941</v>
      </c>
    </row>
    <row r="31" spans="1:7" ht="15" x14ac:dyDescent="0.25">
      <c r="A31" s="8" t="s">
        <v>91</v>
      </c>
      <c r="B31" s="34">
        <v>24286</v>
      </c>
      <c r="C31" s="34">
        <v>19225</v>
      </c>
      <c r="D31" s="43">
        <f t="shared" si="0"/>
        <v>0.3748367096258457</v>
      </c>
      <c r="E31" s="34">
        <f>IFERROR(VLOOKUP(A31,Belastningsfaktor!$B$9:$E$108,2,FALSE),"")</f>
        <v>51289</v>
      </c>
      <c r="F31" s="40"/>
      <c r="G31" s="49">
        <f t="shared" si="1"/>
        <v>0.8758193657410952</v>
      </c>
    </row>
    <row r="32" spans="1:7" ht="15" x14ac:dyDescent="0.25">
      <c r="A32" s="8" t="s">
        <v>89</v>
      </c>
      <c r="B32" s="34">
        <v>20525</v>
      </c>
      <c r="C32" s="34">
        <v>16425</v>
      </c>
      <c r="D32" s="43">
        <f t="shared" si="0"/>
        <v>0.36212712480984194</v>
      </c>
      <c r="E32" s="34">
        <f>IFERROR(VLOOKUP(A32,Belastningsfaktor!$B$9:$E$108,2,FALSE),"")</f>
        <v>45357</v>
      </c>
      <c r="F32" s="40"/>
      <c r="G32" s="49">
        <f t="shared" si="1"/>
        <v>0.86310978092509139</v>
      </c>
    </row>
    <row r="33" spans="1:7" ht="15" x14ac:dyDescent="0.25">
      <c r="A33" s="8" t="s">
        <v>134</v>
      </c>
      <c r="B33" s="34">
        <v>18423</v>
      </c>
      <c r="C33" s="34">
        <v>14778</v>
      </c>
      <c r="D33" s="43">
        <f t="shared" si="0"/>
        <v>0.38716269321456642</v>
      </c>
      <c r="E33" s="34">
        <f>IFERROR(VLOOKUP(A33,Belastningsfaktor!$B$9:$E$108,2,FALSE),"")</f>
        <v>38170</v>
      </c>
      <c r="F33" s="40"/>
      <c r="G33" s="49">
        <f t="shared" si="1"/>
        <v>0.88814534932981593</v>
      </c>
    </row>
    <row r="34" spans="1:7" ht="15" x14ac:dyDescent="0.25">
      <c r="A34" s="8" t="s">
        <v>70</v>
      </c>
      <c r="B34" s="34">
        <v>12008</v>
      </c>
      <c r="C34" s="34">
        <v>9646</v>
      </c>
      <c r="D34" s="43">
        <f t="shared" si="0"/>
        <v>0.3898003717772569</v>
      </c>
      <c r="E34" s="34">
        <f>IFERROR(VLOOKUP(A34,Belastningsfaktor!$B$9:$E$108,2,FALSE),"")</f>
        <v>24746</v>
      </c>
      <c r="F34" s="40">
        <f>IF(IFERROR(VLOOKUP(A34,Boligforhold!$A$3:$M$119,12,FALSE),"")=0,"",IFERROR(VLOOKUP(A34,Boligforhold!$A$3:$M$119,12,FALSE),""))</f>
        <v>51.624914736164747</v>
      </c>
      <c r="G34" s="49">
        <f t="shared" si="1"/>
        <v>0.89078302789250641</v>
      </c>
    </row>
    <row r="35" spans="1:7" ht="15" x14ac:dyDescent="0.25">
      <c r="A35" s="8" t="s">
        <v>80</v>
      </c>
      <c r="B35" s="34">
        <v>35103</v>
      </c>
      <c r="C35" s="34">
        <v>28308</v>
      </c>
      <c r="D35" s="43">
        <f t="shared" si="0"/>
        <v>0.39659278769368711</v>
      </c>
      <c r="E35" s="34">
        <f>IFERROR(VLOOKUP(A35,Belastningsfaktor!$B$9:$E$108,2,FALSE),"")</f>
        <v>71378</v>
      </c>
      <c r="F35" s="40"/>
      <c r="G35" s="49">
        <f t="shared" si="1"/>
        <v>0.89757544380893661</v>
      </c>
    </row>
    <row r="36" spans="1:7" ht="15" x14ac:dyDescent="0.25">
      <c r="A36" s="8" t="s">
        <v>87</v>
      </c>
      <c r="B36" s="34">
        <v>14740</v>
      </c>
      <c r="C36" s="34">
        <v>11970</v>
      </c>
      <c r="D36" s="43">
        <f t="shared" si="0"/>
        <v>0.40225829216654907</v>
      </c>
      <c r="E36" s="34">
        <f>IFERROR(VLOOKUP(A36,Belastningsfaktor!$B$9:$E$108,2,FALSE),"")</f>
        <v>29757</v>
      </c>
      <c r="F36" s="40"/>
      <c r="G36" s="49">
        <f t="shared" ref="G36:G67" si="2">D36-$D$4+1</f>
        <v>0.90324094828179857</v>
      </c>
    </row>
    <row r="37" spans="1:7" ht="15" x14ac:dyDescent="0.25">
      <c r="A37" s="8" t="s">
        <v>129</v>
      </c>
      <c r="B37" s="34">
        <v>9953</v>
      </c>
      <c r="C37" s="34">
        <v>8234</v>
      </c>
      <c r="D37" s="43">
        <f t="shared" si="0"/>
        <v>0.39325628044703409</v>
      </c>
      <c r="E37" s="34">
        <f>IFERROR(VLOOKUP(A37,Belastningsfaktor!$B$9:$E$108,2,FALSE),"")</f>
        <v>20938</v>
      </c>
      <c r="F37" s="40"/>
      <c r="G37" s="49">
        <f t="shared" si="2"/>
        <v>0.89423893656228359</v>
      </c>
    </row>
    <row r="38" spans="1:7" ht="15" x14ac:dyDescent="0.25">
      <c r="A38" s="8" t="s">
        <v>119</v>
      </c>
      <c r="B38" s="34">
        <v>47416</v>
      </c>
      <c r="C38" s="34">
        <v>40789</v>
      </c>
      <c r="D38" s="43">
        <f t="shared" si="0"/>
        <v>0.43544030830655578</v>
      </c>
      <c r="E38" s="34">
        <f>IFERROR(VLOOKUP(A38,Belastningsfaktor!$B$9:$E$108,2,FALSE),"")</f>
        <v>93673</v>
      </c>
      <c r="F38" s="40"/>
      <c r="G38" s="49">
        <f t="shared" si="2"/>
        <v>0.93642296442180528</v>
      </c>
    </row>
    <row r="39" spans="1:7" ht="15" x14ac:dyDescent="0.25">
      <c r="A39" s="8" t="s">
        <v>120</v>
      </c>
      <c r="B39" s="34">
        <v>32242</v>
      </c>
      <c r="C39" s="34">
        <v>27745</v>
      </c>
      <c r="D39" s="43">
        <f t="shared" si="0"/>
        <v>0.44435368920065982</v>
      </c>
      <c r="E39" s="34">
        <f>IFERROR(VLOOKUP(A39,Belastningsfaktor!$B$9:$E$108,2,FALSE),"")</f>
        <v>62439</v>
      </c>
      <c r="F39" s="40"/>
      <c r="G39" s="49">
        <f t="shared" si="2"/>
        <v>0.94533634531590938</v>
      </c>
    </row>
    <row r="40" spans="1:7" ht="15" x14ac:dyDescent="0.25">
      <c r="A40" s="8" t="s">
        <v>108</v>
      </c>
      <c r="B40" s="34">
        <v>25787</v>
      </c>
      <c r="C40" s="34">
        <v>22201</v>
      </c>
      <c r="D40" s="43">
        <f t="shared" si="0"/>
        <v>0.44781749233500079</v>
      </c>
      <c r="E40" s="34">
        <f>IFERROR(VLOOKUP(A40,Belastningsfaktor!$B$9:$E$108,2,FALSE),"")</f>
        <v>49576</v>
      </c>
      <c r="F40" s="40"/>
      <c r="G40" s="49">
        <f t="shared" si="2"/>
        <v>0.94880014845025029</v>
      </c>
    </row>
    <row r="41" spans="1:7" ht="15" x14ac:dyDescent="0.25">
      <c r="A41" s="8" t="s">
        <v>57</v>
      </c>
      <c r="B41" s="34">
        <v>10938</v>
      </c>
      <c r="C41" s="34">
        <v>9417</v>
      </c>
      <c r="D41" s="43">
        <f t="shared" si="0"/>
        <v>0.41255585735564709</v>
      </c>
      <c r="E41" s="34">
        <f>IFERROR(VLOOKUP(A41,Belastningsfaktor!$B$9:$E$108,2,FALSE),"")</f>
        <v>22826</v>
      </c>
      <c r="F41" s="40"/>
      <c r="G41" s="49">
        <f t="shared" si="2"/>
        <v>0.91353851347089665</v>
      </c>
    </row>
    <row r="42" spans="1:7" ht="15" x14ac:dyDescent="0.25">
      <c r="A42" s="8" t="s">
        <v>93</v>
      </c>
      <c r="B42" s="34">
        <v>5229</v>
      </c>
      <c r="C42" s="34">
        <v>4514</v>
      </c>
      <c r="D42" s="43">
        <f t="shared" si="0"/>
        <v>0.3627159501807955</v>
      </c>
      <c r="E42" s="34">
        <f>IFERROR(VLOOKUP(A42,Belastningsfaktor!$B$9:$E$108,2,FALSE),"")</f>
        <v>12445</v>
      </c>
      <c r="F42" s="40"/>
      <c r="G42" s="49">
        <f t="shared" si="2"/>
        <v>0.863698606296045</v>
      </c>
    </row>
    <row r="43" spans="1:7" ht="15" x14ac:dyDescent="0.25">
      <c r="A43" s="8" t="s">
        <v>81</v>
      </c>
      <c r="B43" s="34">
        <v>22356</v>
      </c>
      <c r="C43" s="34">
        <v>19311</v>
      </c>
      <c r="D43" s="43">
        <f t="shared" si="0"/>
        <v>0.39993786890338612</v>
      </c>
      <c r="E43" s="34">
        <f>IFERROR(VLOOKUP(A43,Belastningsfaktor!$B$9:$E$108,2,FALSE),"")</f>
        <v>48285</v>
      </c>
      <c r="F43" s="40"/>
      <c r="G43" s="49">
        <f t="shared" si="2"/>
        <v>0.90092052501863562</v>
      </c>
    </row>
    <row r="44" spans="1:7" ht="15" x14ac:dyDescent="0.25">
      <c r="A44" s="8" t="s">
        <v>113</v>
      </c>
      <c r="B44" s="34">
        <v>24555</v>
      </c>
      <c r="C44" s="34">
        <v>21263</v>
      </c>
      <c r="D44" s="43">
        <f t="shared" si="0"/>
        <v>0.45603311457126927</v>
      </c>
      <c r="E44" s="34">
        <f>IFERROR(VLOOKUP(A44,Belastningsfaktor!$B$9:$E$108,2,FALSE),"")</f>
        <v>46626</v>
      </c>
      <c r="F44" s="40"/>
      <c r="G44" s="49">
        <f t="shared" si="2"/>
        <v>0.95701577068651877</v>
      </c>
    </row>
    <row r="45" spans="1:7" ht="15" x14ac:dyDescent="0.25">
      <c r="A45" s="8" t="s">
        <v>59</v>
      </c>
      <c r="B45" s="34">
        <v>19925</v>
      </c>
      <c r="C45" s="34">
        <v>17363</v>
      </c>
      <c r="D45" s="43">
        <f t="shared" si="0"/>
        <v>0.42851501764604261</v>
      </c>
      <c r="E45" s="34">
        <f>IFERROR(VLOOKUP(A45,Belastningsfaktor!$B$9:$E$108,2,FALSE),"")</f>
        <v>40519</v>
      </c>
      <c r="F45" s="40"/>
      <c r="G45" s="49">
        <f t="shared" si="2"/>
        <v>0.92949767376129211</v>
      </c>
    </row>
    <row r="46" spans="1:7" ht="15" x14ac:dyDescent="0.25">
      <c r="A46" s="8" t="s">
        <v>117</v>
      </c>
      <c r="B46" s="34">
        <v>47811</v>
      </c>
      <c r="C46" s="34">
        <v>41674</v>
      </c>
      <c r="D46" s="43">
        <f t="shared" si="0"/>
        <v>0.42958457890939078</v>
      </c>
      <c r="E46" s="34">
        <f>IFERROR(VLOOKUP(A46,Belastningsfaktor!$B$9:$E$108,2,FALSE),"")</f>
        <v>97010</v>
      </c>
      <c r="F46" s="40"/>
      <c r="G46" s="49">
        <f t="shared" si="2"/>
        <v>0.93056723502464034</v>
      </c>
    </row>
    <row r="47" spans="1:7" ht="15" x14ac:dyDescent="0.25">
      <c r="A47" s="8" t="s">
        <v>79</v>
      </c>
      <c r="B47" s="34">
        <v>26858</v>
      </c>
      <c r="C47" s="34">
        <v>23473</v>
      </c>
      <c r="D47" s="43">
        <f t="shared" si="0"/>
        <v>0.38826584623527854</v>
      </c>
      <c r="E47" s="34">
        <f>IFERROR(VLOOKUP(A47,Belastningsfaktor!$B$9:$E$108,2,FALSE),"")</f>
        <v>60456</v>
      </c>
      <c r="F47" s="40"/>
      <c r="G47" s="49">
        <f t="shared" si="2"/>
        <v>0.8892485023505281</v>
      </c>
    </row>
    <row r="48" spans="1:7" ht="15" x14ac:dyDescent="0.25">
      <c r="A48" s="8" t="s">
        <v>92</v>
      </c>
      <c r="B48" s="34">
        <v>11013</v>
      </c>
      <c r="C48" s="34">
        <v>9643</v>
      </c>
      <c r="D48" s="43">
        <f t="shared" si="0"/>
        <v>0.4066374293666189</v>
      </c>
      <c r="E48" s="34">
        <f>IFERROR(VLOOKUP(A48,Belastningsfaktor!$B$9:$E$108,2,FALSE),"")</f>
        <v>23714</v>
      </c>
      <c r="F48" s="40"/>
      <c r="G48" s="49">
        <f t="shared" si="2"/>
        <v>0.90762008548186834</v>
      </c>
    </row>
    <row r="49" spans="1:7" ht="15" x14ac:dyDescent="0.25">
      <c r="A49" s="8" t="s">
        <v>104</v>
      </c>
      <c r="B49" s="34">
        <v>26687</v>
      </c>
      <c r="C49" s="34">
        <v>23461</v>
      </c>
      <c r="D49" s="43">
        <f t="shared" si="0"/>
        <v>0.42209708178906841</v>
      </c>
      <c r="E49" s="34">
        <f>IFERROR(VLOOKUP(A49,Belastningsfaktor!$B$9:$E$108,2,FALSE),"")</f>
        <v>55582</v>
      </c>
      <c r="F49" s="40"/>
      <c r="G49" s="49">
        <f t="shared" si="2"/>
        <v>0.92307973790431785</v>
      </c>
    </row>
    <row r="50" spans="1:7" ht="15" x14ac:dyDescent="0.25">
      <c r="A50" s="8" t="s">
        <v>98</v>
      </c>
      <c r="B50" s="34">
        <v>26679</v>
      </c>
      <c r="C50" s="34">
        <v>23462</v>
      </c>
      <c r="D50" s="43">
        <f t="shared" si="0"/>
        <v>0.40480339550371813</v>
      </c>
      <c r="E50" s="34">
        <f>IFERROR(VLOOKUP(A50,Belastningsfaktor!$B$9:$E$108,2,FALSE),"")</f>
        <v>57959</v>
      </c>
      <c r="F50" s="40"/>
      <c r="G50" s="49">
        <f t="shared" si="2"/>
        <v>0.90578605161896764</v>
      </c>
    </row>
    <row r="51" spans="1:7" ht="15" x14ac:dyDescent="0.25">
      <c r="A51" s="8" t="s">
        <v>115</v>
      </c>
      <c r="B51" s="34">
        <v>17960</v>
      </c>
      <c r="C51" s="34">
        <v>15797</v>
      </c>
      <c r="D51" s="43">
        <f t="shared" si="0"/>
        <v>0.42692286903410626</v>
      </c>
      <c r="E51" s="34">
        <f>IFERROR(VLOOKUP(A51,Belastningsfaktor!$B$9:$E$108,2,FALSE),"")</f>
        <v>37002</v>
      </c>
      <c r="F51" s="40"/>
      <c r="G51" s="49">
        <f t="shared" si="2"/>
        <v>0.92790552514935576</v>
      </c>
    </row>
    <row r="52" spans="1:7" ht="15" x14ac:dyDescent="0.25">
      <c r="A52" s="8" t="s">
        <v>99</v>
      </c>
      <c r="B52" s="34">
        <v>2549</v>
      </c>
      <c r="C52" s="34">
        <v>2322</v>
      </c>
      <c r="D52" s="43">
        <f t="shared" si="0"/>
        <v>0.39038332212508409</v>
      </c>
      <c r="E52" s="34">
        <f>IFERROR(VLOOKUP(A52,Belastningsfaktor!$B$9:$E$108,2,FALSE),"")</f>
        <v>5948</v>
      </c>
      <c r="F52" s="40"/>
      <c r="G52" s="49">
        <f t="shared" si="2"/>
        <v>0.89136597824033359</v>
      </c>
    </row>
    <row r="53" spans="1:7" ht="15" x14ac:dyDescent="0.25">
      <c r="A53" s="8" t="s">
        <v>86</v>
      </c>
      <c r="B53" s="34">
        <v>37519</v>
      </c>
      <c r="C53" s="34">
        <v>34477</v>
      </c>
      <c r="D53" s="43">
        <f t="shared" si="0"/>
        <v>0.43780873407916293</v>
      </c>
      <c r="E53" s="34">
        <f>IFERROR(VLOOKUP(A53,Belastningsfaktor!$B$9:$E$108,2,FALSE),"")</f>
        <v>78749</v>
      </c>
      <c r="F53" s="40"/>
      <c r="G53" s="49">
        <f t="shared" si="2"/>
        <v>0.93879139019441249</v>
      </c>
    </row>
    <row r="54" spans="1:7" ht="15" x14ac:dyDescent="0.25">
      <c r="A54" s="8" t="s">
        <v>107</v>
      </c>
      <c r="B54" s="34">
        <v>17926</v>
      </c>
      <c r="C54" s="34">
        <v>16496</v>
      </c>
      <c r="D54" s="43">
        <f t="shared" si="0"/>
        <v>0.44246553296496971</v>
      </c>
      <c r="E54" s="34">
        <f>IFERROR(VLOOKUP(A54,Belastningsfaktor!$B$9:$E$108,2,FALSE),"")</f>
        <v>37282</v>
      </c>
      <c r="F54" s="40"/>
      <c r="G54" s="49">
        <f t="shared" si="2"/>
        <v>0.94344818908021921</v>
      </c>
    </row>
    <row r="55" spans="1:7" ht="15" x14ac:dyDescent="0.25">
      <c r="A55" s="8" t="s">
        <v>109</v>
      </c>
      <c r="B55" s="34">
        <v>21983</v>
      </c>
      <c r="C55" s="34">
        <v>20563</v>
      </c>
      <c r="D55" s="43">
        <f t="shared" si="0"/>
        <v>0.48196413922418846</v>
      </c>
      <c r="E55" s="34">
        <f>IFERROR(VLOOKUP(A55,Belastningsfaktor!$B$9:$E$108,2,FALSE),"")</f>
        <v>42665</v>
      </c>
      <c r="F55" s="40"/>
      <c r="G55" s="49">
        <f t="shared" si="2"/>
        <v>0.98294679533943796</v>
      </c>
    </row>
    <row r="56" spans="1:7" ht="15" x14ac:dyDescent="0.25">
      <c r="A56" s="8" t="s">
        <v>94</v>
      </c>
      <c r="B56" s="34">
        <v>19065</v>
      </c>
      <c r="C56" s="34">
        <v>17869</v>
      </c>
      <c r="D56" s="43">
        <f t="shared" si="0"/>
        <v>0.46201778880959771</v>
      </c>
      <c r="E56" s="34">
        <f>IFERROR(VLOOKUP(A56,Belastningsfaktor!$B$9:$E$108,2,FALSE),"")</f>
        <v>38676</v>
      </c>
      <c r="F56" s="40"/>
      <c r="G56" s="49">
        <f t="shared" si="2"/>
        <v>0.96300044492484727</v>
      </c>
    </row>
    <row r="57" spans="1:7" ht="15" x14ac:dyDescent="0.25">
      <c r="A57" s="8" t="s">
        <v>126</v>
      </c>
      <c r="B57" s="34">
        <v>9933</v>
      </c>
      <c r="C57" s="34">
        <v>9329</v>
      </c>
      <c r="D57" s="43">
        <f t="shared" si="0"/>
        <v>0.47389007416438078</v>
      </c>
      <c r="E57" s="34">
        <f>IFERROR(VLOOKUP(A57,Belastningsfaktor!$B$9:$E$108,2,FALSE),"")</f>
        <v>19686</v>
      </c>
      <c r="F57" s="40"/>
      <c r="G57" s="49">
        <f t="shared" si="2"/>
        <v>0.97487273027963028</v>
      </c>
    </row>
    <row r="58" spans="1:7" ht="15" x14ac:dyDescent="0.25">
      <c r="A58" s="8" t="s">
        <v>85</v>
      </c>
      <c r="B58" s="34">
        <v>17913</v>
      </c>
      <c r="C58" s="34">
        <v>16871</v>
      </c>
      <c r="D58" s="43">
        <f t="shared" si="0"/>
        <v>0.4889152925493378</v>
      </c>
      <c r="E58" s="34">
        <f>IFERROR(VLOOKUP(A58,Belastningsfaktor!$B$9:$E$108,2,FALSE),"")</f>
        <v>34507</v>
      </c>
      <c r="F58" s="40"/>
      <c r="G58" s="49">
        <f t="shared" si="2"/>
        <v>0.98989794866458736</v>
      </c>
    </row>
    <row r="59" spans="1:7" ht="15" x14ac:dyDescent="0.25">
      <c r="A59" s="8" t="s">
        <v>110</v>
      </c>
      <c r="B59" s="34">
        <v>58811</v>
      </c>
      <c r="C59" s="34">
        <v>56178</v>
      </c>
      <c r="D59" s="43">
        <f t="shared" si="0"/>
        <v>0.48844488497052535</v>
      </c>
      <c r="E59" s="34">
        <f>IFERROR(VLOOKUP(A59,Belastningsfaktor!$B$9:$E$108,2,FALSE),"")</f>
        <v>115014</v>
      </c>
      <c r="F59" s="40"/>
      <c r="G59" s="49">
        <f t="shared" si="2"/>
        <v>0.98942754108577491</v>
      </c>
    </row>
    <row r="60" spans="1:7" ht="15" x14ac:dyDescent="0.25">
      <c r="A60" s="8" t="s">
        <v>74</v>
      </c>
      <c r="B60" s="34">
        <v>30632</v>
      </c>
      <c r="C60" s="34">
        <v>29277</v>
      </c>
      <c r="D60" s="43">
        <f t="shared" si="0"/>
        <v>0.48388536295120982</v>
      </c>
      <c r="E60" s="34">
        <f>IFERROR(VLOOKUP(A60,Belastningsfaktor!$B$9:$E$108,2,FALSE),"")</f>
        <v>60504</v>
      </c>
      <c r="F60" s="40"/>
      <c r="G60" s="49">
        <f t="shared" si="2"/>
        <v>0.98486801906645938</v>
      </c>
    </row>
    <row r="61" spans="1:7" ht="15" x14ac:dyDescent="0.25">
      <c r="A61" s="8" t="s">
        <v>76</v>
      </c>
      <c r="B61" s="34">
        <v>44872</v>
      </c>
      <c r="C61" s="34">
        <v>43156</v>
      </c>
      <c r="D61" s="43">
        <f t="shared" si="0"/>
        <v>0.49497637289535257</v>
      </c>
      <c r="E61" s="34">
        <f>IFERROR(VLOOKUP(A61,Belastningsfaktor!$B$9:$E$108,2,FALSE),"")</f>
        <v>87188</v>
      </c>
      <c r="F61" s="40">
        <f>IF(IFERROR(VLOOKUP(A61,Boligforhold!$A$3:$M$119,12,FALSE),"")=0,"",IFERROR(VLOOKUP(A61,Boligforhold!$A$3:$M$119,12,FALSE),""))</f>
        <v>94.4</v>
      </c>
      <c r="G61" s="49">
        <f t="shared" si="2"/>
        <v>0.99595902901060207</v>
      </c>
    </row>
    <row r="62" spans="1:7" ht="15" x14ac:dyDescent="0.25">
      <c r="A62" s="8" t="s">
        <v>128</v>
      </c>
      <c r="B62" s="34">
        <v>22571</v>
      </c>
      <c r="C62" s="34">
        <v>21797</v>
      </c>
      <c r="D62" s="43">
        <f t="shared" si="0"/>
        <v>0.4766559513656542</v>
      </c>
      <c r="E62" s="34">
        <f>IFERROR(VLOOKUP(A62,Belastningsfaktor!$B$9:$E$108,2,FALSE),"")</f>
        <v>45729</v>
      </c>
      <c r="F62" s="40"/>
      <c r="G62" s="49">
        <f t="shared" si="2"/>
        <v>0.9776386074809037</v>
      </c>
    </row>
    <row r="63" spans="1:7" ht="15" x14ac:dyDescent="0.25">
      <c r="A63" s="8" t="s">
        <v>140</v>
      </c>
      <c r="B63" s="34">
        <v>18020</v>
      </c>
      <c r="C63" s="34">
        <v>17457</v>
      </c>
      <c r="D63" s="43">
        <f t="shared" si="0"/>
        <v>0.47721494765041961</v>
      </c>
      <c r="E63" s="34">
        <f>IFERROR(VLOOKUP(A63,Belastningsfaktor!$B$9:$E$108,2,FALSE),"")</f>
        <v>36581</v>
      </c>
      <c r="F63" s="40"/>
      <c r="G63" s="49">
        <f t="shared" si="2"/>
        <v>0.97819760376566911</v>
      </c>
    </row>
    <row r="64" spans="1:7" ht="15" x14ac:dyDescent="0.25">
      <c r="A64" s="8" t="s">
        <v>133</v>
      </c>
      <c r="B64" s="34">
        <v>31227</v>
      </c>
      <c r="C64" s="34">
        <v>30409</v>
      </c>
      <c r="D64" s="43">
        <f t="shared" si="0"/>
        <v>0.47363092642202981</v>
      </c>
      <c r="E64" s="34">
        <f>IFERROR(VLOOKUP(A64,Belastningsfaktor!$B$9:$E$108,2,FALSE),"")</f>
        <v>64204</v>
      </c>
      <c r="F64" s="40"/>
      <c r="G64" s="49">
        <f t="shared" si="2"/>
        <v>0.97461358253727925</v>
      </c>
    </row>
    <row r="65" spans="1:7" ht="15" x14ac:dyDescent="0.25">
      <c r="A65" s="8" t="s">
        <v>114</v>
      </c>
      <c r="B65" s="34">
        <v>45379</v>
      </c>
      <c r="C65" s="34">
        <v>44226</v>
      </c>
      <c r="D65" s="43">
        <f t="shared" si="0"/>
        <v>0.48822113792418254</v>
      </c>
      <c r="E65" s="34">
        <f>IFERROR(VLOOKUP(A65,Belastningsfaktor!$B$9:$E$108,2,FALSE),"")</f>
        <v>90586</v>
      </c>
      <c r="F65" s="40"/>
      <c r="G65" s="49">
        <f t="shared" si="2"/>
        <v>0.98920379403943204</v>
      </c>
    </row>
    <row r="66" spans="1:7" ht="15" x14ac:dyDescent="0.25">
      <c r="A66" s="8" t="s">
        <v>118</v>
      </c>
      <c r="B66" s="34">
        <v>1648</v>
      </c>
      <c r="C66" s="34">
        <v>1610</v>
      </c>
      <c r="D66" s="43">
        <f t="shared" si="0"/>
        <v>0.44157981349424025</v>
      </c>
      <c r="E66" s="34">
        <f>IFERROR(VLOOKUP(A66,Belastningsfaktor!$B$9:$E$108,2,FALSE),"")</f>
        <v>3646</v>
      </c>
      <c r="F66" s="40"/>
      <c r="G66" s="49">
        <f t="shared" si="2"/>
        <v>0.94256246960948975</v>
      </c>
    </row>
    <row r="67" spans="1:7" ht="15" x14ac:dyDescent="0.25">
      <c r="A67" s="8" t="s">
        <v>72</v>
      </c>
      <c r="B67" s="34">
        <v>17168</v>
      </c>
      <c r="C67" s="34">
        <v>16834</v>
      </c>
      <c r="D67" s="43">
        <f t="shared" si="0"/>
        <v>0.42784527016723428</v>
      </c>
      <c r="E67" s="34">
        <f>IFERROR(VLOOKUP(A67,Belastningsfaktor!$B$9:$E$108,2,FALSE),"")</f>
        <v>39346</v>
      </c>
      <c r="F67" s="40"/>
      <c r="G67" s="49">
        <f t="shared" si="2"/>
        <v>0.92882792628248378</v>
      </c>
    </row>
    <row r="68" spans="1:7" ht="15" x14ac:dyDescent="0.25">
      <c r="A68" s="8" t="s">
        <v>106</v>
      </c>
      <c r="B68" s="34">
        <v>34217</v>
      </c>
      <c r="C68" s="34">
        <v>33553</v>
      </c>
      <c r="D68" s="43">
        <f t="shared" si="0"/>
        <v>0.45374389765642958</v>
      </c>
      <c r="E68" s="34">
        <f>IFERROR(VLOOKUP(A68,Belastningsfaktor!$B$9:$E$108,2,FALSE),"")</f>
        <v>73947</v>
      </c>
      <c r="F68" s="40"/>
      <c r="G68" s="49">
        <f t="shared" ref="G68:G102" si="3">D68-$D$4+1</f>
        <v>0.95472655377167914</v>
      </c>
    </row>
    <row r="69" spans="1:7" ht="15" x14ac:dyDescent="0.25">
      <c r="A69" s="8" t="s">
        <v>137</v>
      </c>
      <c r="B69" s="34">
        <v>9626</v>
      </c>
      <c r="C69" s="34">
        <v>9457</v>
      </c>
      <c r="D69" s="43">
        <f t="shared" ref="D69:D102" si="4">C69/E69</f>
        <v>0.46842339888057855</v>
      </c>
      <c r="E69" s="34">
        <f>IFERROR(VLOOKUP(A69,Belastningsfaktor!$B$9:$E$108,2,FALSE),"")</f>
        <v>20189</v>
      </c>
      <c r="F69" s="40"/>
      <c r="G69" s="49">
        <f t="shared" si="3"/>
        <v>0.9694060549958281</v>
      </c>
    </row>
    <row r="70" spans="1:7" ht="15" x14ac:dyDescent="0.25">
      <c r="A70" s="8" t="s">
        <v>82</v>
      </c>
      <c r="B70" s="34">
        <v>16603</v>
      </c>
      <c r="C70" s="34">
        <v>16320</v>
      </c>
      <c r="D70" s="43">
        <f t="shared" si="4"/>
        <v>0.39857373125580031</v>
      </c>
      <c r="E70" s="34">
        <f>IFERROR(VLOOKUP(A70,Belastningsfaktor!$B$9:$E$108,2,FALSE),"")</f>
        <v>40946</v>
      </c>
      <c r="F70" s="40"/>
      <c r="G70" s="49">
        <f t="shared" si="3"/>
        <v>0.89955638737104981</v>
      </c>
    </row>
    <row r="71" spans="1:7" ht="15" x14ac:dyDescent="0.25">
      <c r="A71" s="8" t="s">
        <v>71</v>
      </c>
      <c r="B71" s="34">
        <v>27609</v>
      </c>
      <c r="C71" s="34">
        <v>27194</v>
      </c>
      <c r="D71" s="43">
        <f t="shared" si="4"/>
        <v>0.48225717781836885</v>
      </c>
      <c r="E71" s="34">
        <f>IFERROR(VLOOKUP(A71,Belastningsfaktor!$B$9:$E$108,2,FALSE),"")</f>
        <v>56389</v>
      </c>
      <c r="F71" s="40"/>
      <c r="G71" s="49">
        <f t="shared" si="3"/>
        <v>0.98323983393361836</v>
      </c>
    </row>
    <row r="72" spans="1:7" ht="15" x14ac:dyDescent="0.25">
      <c r="A72" s="8" t="s">
        <v>132</v>
      </c>
      <c r="B72" s="34">
        <v>27676</v>
      </c>
      <c r="C72" s="34">
        <v>27346</v>
      </c>
      <c r="D72" s="43">
        <f t="shared" si="4"/>
        <v>0.45907198495836693</v>
      </c>
      <c r="E72" s="34">
        <f>IFERROR(VLOOKUP(A72,Belastningsfaktor!$B$9:$E$108,2,FALSE),"")</f>
        <v>59568</v>
      </c>
      <c r="F72" s="40"/>
      <c r="G72" s="49">
        <f t="shared" si="3"/>
        <v>0.96005464107361638</v>
      </c>
    </row>
    <row r="73" spans="1:7" ht="15" x14ac:dyDescent="0.25">
      <c r="A73" s="8" t="s">
        <v>136</v>
      </c>
      <c r="B73" s="34">
        <v>20573</v>
      </c>
      <c r="C73" s="34">
        <v>20838</v>
      </c>
      <c r="D73" s="43">
        <f t="shared" si="4"/>
        <v>0.4993769171779141</v>
      </c>
      <c r="E73" s="34">
        <f>IFERROR(VLOOKUP(A73,Belastningsfaktor!$B$9:$E$108,2,FALSE),"")</f>
        <v>41728</v>
      </c>
      <c r="F73" s="40"/>
      <c r="G73" s="49">
        <f t="shared" si="3"/>
        <v>1.0003595732931636</v>
      </c>
    </row>
    <row r="74" spans="1:7" ht="15" x14ac:dyDescent="0.25">
      <c r="A74" s="8" t="s">
        <v>135</v>
      </c>
      <c r="B74" s="34">
        <v>785</v>
      </c>
      <c r="C74" s="34">
        <v>804</v>
      </c>
      <c r="D74" s="43">
        <f t="shared" si="4"/>
        <v>0.45346869712351945</v>
      </c>
      <c r="E74" s="34">
        <f>IFERROR(VLOOKUP(A74,Belastningsfaktor!$B$9:$E$108,2,FALSE),"")</f>
        <v>1773</v>
      </c>
      <c r="F74" s="40"/>
      <c r="G74" s="49">
        <f t="shared" si="3"/>
        <v>0.95445135323876895</v>
      </c>
    </row>
    <row r="75" spans="1:7" ht="15" x14ac:dyDescent="0.25">
      <c r="A75" s="8" t="s">
        <v>139</v>
      </c>
      <c r="B75" s="34">
        <v>21479</v>
      </c>
      <c r="C75" s="34">
        <v>22112</v>
      </c>
      <c r="D75" s="43">
        <f t="shared" si="4"/>
        <v>0.51038685255285754</v>
      </c>
      <c r="E75" s="34">
        <f>IFERROR(VLOOKUP(A75,Belastningsfaktor!$B$9:$E$108,2,FALSE),"")</f>
        <v>43324</v>
      </c>
      <c r="F75" s="40"/>
      <c r="G75" s="49">
        <f t="shared" si="3"/>
        <v>1.0113695086681069</v>
      </c>
    </row>
    <row r="76" spans="1:7" ht="15" x14ac:dyDescent="0.25">
      <c r="A76" s="8" t="s">
        <v>130</v>
      </c>
      <c r="B76" s="34">
        <v>48668</v>
      </c>
      <c r="C76" s="34">
        <v>50683</v>
      </c>
      <c r="D76" s="43">
        <f t="shared" si="4"/>
        <v>0.52442986631348043</v>
      </c>
      <c r="E76" s="34">
        <f>IFERROR(VLOOKUP(A76,Belastningsfaktor!$B$9:$E$108,2,FALSE),"")</f>
        <v>96644</v>
      </c>
      <c r="F76" s="40">
        <f>IF(IFERROR(VLOOKUP(A76,Boligforhold!$A$3:$M$119,12,FALSE),"")=0,"",IFERROR(VLOOKUP(A76,Boligforhold!$A$3:$M$119,12,FALSE),""))</f>
        <v>37.037775869662923</v>
      </c>
      <c r="G76" s="49">
        <f t="shared" si="3"/>
        <v>1.0254125224287298</v>
      </c>
    </row>
    <row r="77" spans="1:7" ht="15" x14ac:dyDescent="0.25">
      <c r="A77" s="8" t="s">
        <v>123</v>
      </c>
      <c r="B77" s="34">
        <v>45578</v>
      </c>
      <c r="C77" s="34">
        <v>47488</v>
      </c>
      <c r="D77" s="43">
        <f t="shared" si="4"/>
        <v>0.53457009703491909</v>
      </c>
      <c r="E77" s="34">
        <f>IFERROR(VLOOKUP(A77,Belastningsfaktor!$B$9:$E$108,2,FALSE),"")</f>
        <v>88834</v>
      </c>
      <c r="F77" s="40"/>
      <c r="G77" s="49">
        <f t="shared" si="3"/>
        <v>1.0355527531501685</v>
      </c>
    </row>
    <row r="78" spans="1:7" ht="15" x14ac:dyDescent="0.25">
      <c r="A78" s="8" t="s">
        <v>127</v>
      </c>
      <c r="B78" s="34">
        <v>28984</v>
      </c>
      <c r="C78" s="34">
        <v>30261</v>
      </c>
      <c r="D78" s="43">
        <f t="shared" si="4"/>
        <v>0.53632383956897012</v>
      </c>
      <c r="E78" s="34">
        <f>IFERROR(VLOOKUP(A78,Belastningsfaktor!$B$9:$E$108,2,FALSE),"")</f>
        <v>56423</v>
      </c>
      <c r="F78" s="40"/>
      <c r="G78" s="49">
        <f t="shared" si="3"/>
        <v>1.0373064956842195</v>
      </c>
    </row>
    <row r="79" spans="1:7" ht="15" x14ac:dyDescent="0.25">
      <c r="A79" s="8" t="s">
        <v>124</v>
      </c>
      <c r="B79" s="34">
        <v>29742</v>
      </c>
      <c r="C79" s="34">
        <v>31198</v>
      </c>
      <c r="D79" s="43">
        <f t="shared" si="4"/>
        <v>0.53362753147235908</v>
      </c>
      <c r="E79" s="34">
        <f>IFERROR(VLOOKUP(A79,Belastningsfaktor!$B$9:$E$108,2,FALSE),"")</f>
        <v>58464</v>
      </c>
      <c r="F79" s="40"/>
      <c r="G79" s="49">
        <f t="shared" si="3"/>
        <v>1.0346101875876086</v>
      </c>
    </row>
    <row r="80" spans="1:7" ht="15" x14ac:dyDescent="0.25">
      <c r="A80" s="8" t="s">
        <v>111</v>
      </c>
      <c r="B80" s="34">
        <v>28011</v>
      </c>
      <c r="C80" s="34">
        <v>29413</v>
      </c>
      <c r="D80" s="43">
        <f t="shared" si="4"/>
        <v>0.50208255095421805</v>
      </c>
      <c r="E80" s="34">
        <f>IFERROR(VLOOKUP(A80,Belastningsfaktor!$B$9:$E$108,2,FALSE),"")</f>
        <v>58582</v>
      </c>
      <c r="F80" s="40"/>
      <c r="G80" s="49">
        <f t="shared" si="3"/>
        <v>1.0030652070694677</v>
      </c>
    </row>
    <row r="81" spans="1:7" ht="15" x14ac:dyDescent="0.25">
      <c r="A81" s="8" t="s">
        <v>51</v>
      </c>
      <c r="B81" s="34">
        <v>37783</v>
      </c>
      <c r="C81" s="34">
        <v>39873</v>
      </c>
      <c r="D81" s="43">
        <f t="shared" si="4"/>
        <v>0.53503569319950617</v>
      </c>
      <c r="E81" s="34">
        <f>IFERROR(VLOOKUP(A81,Belastningsfaktor!$B$9:$E$108,2,FALSE),"")</f>
        <v>74524</v>
      </c>
      <c r="F81" s="40"/>
      <c r="G81" s="49">
        <f t="shared" si="3"/>
        <v>1.0360183493147557</v>
      </c>
    </row>
    <row r="82" spans="1:7" ht="15" x14ac:dyDescent="0.25">
      <c r="A82" s="8" t="s">
        <v>101</v>
      </c>
      <c r="B82" s="34">
        <v>56967</v>
      </c>
      <c r="C82" s="34">
        <v>60373</v>
      </c>
      <c r="D82" s="43">
        <f t="shared" si="4"/>
        <v>0.52464957027278336</v>
      </c>
      <c r="E82" s="34">
        <f>IFERROR(VLOOKUP(A82,Belastningsfaktor!$B$9:$E$108,2,FALSE),"")</f>
        <v>115073</v>
      </c>
      <c r="F82" s="40"/>
      <c r="G82" s="49">
        <f t="shared" si="3"/>
        <v>1.0256322263880329</v>
      </c>
    </row>
    <row r="83" spans="1:7" ht="15" x14ac:dyDescent="0.25">
      <c r="A83" s="8" t="s">
        <v>141</v>
      </c>
      <c r="B83" s="34">
        <v>105590</v>
      </c>
      <c r="C83" s="34">
        <v>112794</v>
      </c>
      <c r="D83" s="43">
        <f t="shared" si="4"/>
        <v>0.52357610360674001</v>
      </c>
      <c r="E83" s="34">
        <f>IFERROR(VLOOKUP(A83,Belastningsfaktor!$B$9:$E$108,2,FALSE),"")</f>
        <v>215430</v>
      </c>
      <c r="F83" s="40">
        <f>IF(IFERROR(VLOOKUP(A83,Boligforhold!$A$3:$M$119,12,FALSE),"")=0,"",IFERROR(VLOOKUP(A83,Boligforhold!$A$3:$M$119,12,FALSE),""))</f>
        <v>79</v>
      </c>
      <c r="G83" s="49">
        <f t="shared" si="3"/>
        <v>1.0245587597219896</v>
      </c>
    </row>
    <row r="84" spans="1:7" ht="15" x14ac:dyDescent="0.25">
      <c r="A84" s="8" t="s">
        <v>97</v>
      </c>
      <c r="B84" s="34">
        <v>96985</v>
      </c>
      <c r="C84" s="34">
        <v>105665</v>
      </c>
      <c r="D84" s="43">
        <f t="shared" si="4"/>
        <v>0.51957279624721564</v>
      </c>
      <c r="E84" s="34">
        <f>IFERROR(VLOOKUP(A84,Belastningsfaktor!$B$9:$E$108,2,FALSE),"")</f>
        <v>203369</v>
      </c>
      <c r="F84" s="40">
        <f>IF(IFERROR(VLOOKUP(A84,Boligforhold!$A$3:$M$119,12,FALSE),"")=0,"",IFERROR(VLOOKUP(A84,Boligforhold!$A$3:$M$119,12,FALSE),""))</f>
        <v>34.359061958564148</v>
      </c>
      <c r="G84" s="49">
        <f t="shared" si="3"/>
        <v>1.0205554523624651</v>
      </c>
    </row>
    <row r="85" spans="1:7" ht="15" x14ac:dyDescent="0.25">
      <c r="A85" s="8" t="s">
        <v>61</v>
      </c>
      <c r="B85" s="34">
        <v>13294</v>
      </c>
      <c r="C85" s="34">
        <v>14534</v>
      </c>
      <c r="D85" s="43">
        <f t="shared" si="4"/>
        <v>0.56967036412809158</v>
      </c>
      <c r="E85" s="34">
        <f>IFERROR(VLOOKUP(A85,Belastningsfaktor!$B$9:$E$108,2,FALSE),"")</f>
        <v>25513</v>
      </c>
      <c r="F85" s="40"/>
      <c r="G85" s="49">
        <f t="shared" si="3"/>
        <v>1.0706530202433411</v>
      </c>
    </row>
    <row r="86" spans="1:7" ht="15" x14ac:dyDescent="0.25">
      <c r="A86" s="8" t="s">
        <v>125</v>
      </c>
      <c r="B86" s="34">
        <v>20744</v>
      </c>
      <c r="C86" s="34">
        <v>22913</v>
      </c>
      <c r="D86" s="43">
        <f t="shared" si="4"/>
        <v>0.55577655419991756</v>
      </c>
      <c r="E86" s="34">
        <f>IFERROR(VLOOKUP(A86,Belastningsfaktor!$B$9:$E$108,2,FALSE),"")</f>
        <v>41227</v>
      </c>
      <c r="F86" s="40">
        <f>IF(IFERROR(VLOOKUP(A86,Boligforhold!$A$3:$M$119,12,FALSE),"")=0,"",IFERROR(VLOOKUP(A86,Boligforhold!$A$3:$M$119,12,FALSE),""))</f>
        <v>18.8</v>
      </c>
      <c r="G86" s="49">
        <f t="shared" si="3"/>
        <v>1.0567592103151671</v>
      </c>
    </row>
    <row r="87" spans="1:7" ht="15" x14ac:dyDescent="0.25">
      <c r="A87" s="8" t="s">
        <v>55</v>
      </c>
      <c r="B87" s="34">
        <v>26681</v>
      </c>
      <c r="C87" s="34">
        <v>29801</v>
      </c>
      <c r="D87" s="43">
        <f t="shared" si="4"/>
        <v>0.55857324936272301</v>
      </c>
      <c r="E87" s="34">
        <f>IFERROR(VLOOKUP(A87,Belastningsfaktor!$B$9:$E$108,2,FALSE),"")</f>
        <v>53352</v>
      </c>
      <c r="F87" s="40"/>
      <c r="G87" s="49">
        <f t="shared" si="3"/>
        <v>1.0595559054779726</v>
      </c>
    </row>
    <row r="88" spans="1:7" ht="15" x14ac:dyDescent="0.25">
      <c r="A88" s="8" t="s">
        <v>103</v>
      </c>
      <c r="B88" s="34">
        <v>24507</v>
      </c>
      <c r="C88" s="34">
        <v>27917</v>
      </c>
      <c r="D88" s="43">
        <f t="shared" si="4"/>
        <v>0.54594700303119192</v>
      </c>
      <c r="E88" s="34">
        <f>IFERROR(VLOOKUP(A88,Belastningsfaktor!$B$9:$E$108,2,FALSE),"")</f>
        <v>51135</v>
      </c>
      <c r="F88" s="40"/>
      <c r="G88" s="49">
        <f t="shared" si="3"/>
        <v>1.0469296591464414</v>
      </c>
    </row>
    <row r="89" spans="1:7" ht="15" x14ac:dyDescent="0.25">
      <c r="A89" s="8" t="s">
        <v>105</v>
      </c>
      <c r="B89" s="34">
        <v>47194</v>
      </c>
      <c r="C89" s="34">
        <v>54183</v>
      </c>
      <c r="D89" s="43">
        <f t="shared" si="4"/>
        <v>0.5836358348503291</v>
      </c>
      <c r="E89" s="34">
        <f>IFERROR(VLOOKUP(A89,Belastningsfaktor!$B$9:$E$108,2,FALSE),"")</f>
        <v>92837</v>
      </c>
      <c r="F89" s="40"/>
      <c r="G89" s="49">
        <f t="shared" si="3"/>
        <v>1.0846184909655787</v>
      </c>
    </row>
    <row r="90" spans="1:7" ht="15" x14ac:dyDescent="0.25">
      <c r="A90" s="8" t="s">
        <v>122</v>
      </c>
      <c r="B90" s="34">
        <v>176068</v>
      </c>
      <c r="C90" s="34">
        <v>202156</v>
      </c>
      <c r="D90" s="43">
        <f t="shared" si="4"/>
        <v>0.58136578800549854</v>
      </c>
      <c r="E90" s="34">
        <f>IFERROR(VLOOKUP(A90,Belastningsfaktor!$B$9:$E$108,2,FALSE),"")</f>
        <v>347726</v>
      </c>
      <c r="F90" s="40"/>
      <c r="G90" s="49">
        <f t="shared" si="3"/>
        <v>1.082348444120748</v>
      </c>
    </row>
    <row r="91" spans="1:7" ht="15" x14ac:dyDescent="0.25">
      <c r="A91" s="8" t="s">
        <v>69</v>
      </c>
      <c r="B91" s="34">
        <v>26525</v>
      </c>
      <c r="C91" s="34">
        <v>30723</v>
      </c>
      <c r="D91" s="43">
        <f t="shared" si="4"/>
        <v>0.60293194128267524</v>
      </c>
      <c r="E91" s="34">
        <f>IFERROR(VLOOKUP(A91,Belastningsfaktor!$B$9:$E$108,2,FALSE),"")</f>
        <v>50956</v>
      </c>
      <c r="F91" s="40">
        <f>IF(IFERROR(VLOOKUP(A91,Boligforhold!$A$3:$M$119,12,FALSE),"")=0,"",IFERROR(VLOOKUP(A91,Boligforhold!$A$3:$M$119,12,FALSE),""))</f>
        <v>85.591736514076956</v>
      </c>
      <c r="G91" s="49">
        <f t="shared" si="3"/>
        <v>1.1039145973979247</v>
      </c>
    </row>
    <row r="92" spans="1:7" ht="15" x14ac:dyDescent="0.25">
      <c r="A92" s="8" t="s">
        <v>44</v>
      </c>
      <c r="B92" s="34">
        <v>345536</v>
      </c>
      <c r="C92" s="34">
        <v>404947</v>
      </c>
      <c r="D92" s="43">
        <f t="shared" si="4"/>
        <v>0.6464960119545573</v>
      </c>
      <c r="E92" s="34">
        <f>IFERROR(VLOOKUP(A92,Belastningsfaktor!$B$9:$E$108,2,FALSE),"")</f>
        <v>626372</v>
      </c>
      <c r="F92" s="40">
        <f>IF(IFERROR(VLOOKUP(A92,Boligforhold!$A$3:$M$119,12,FALSE),"")=0,"",IFERROR(VLOOKUP(A92,Boligforhold!$A$3:$M$119,12,FALSE),""))</f>
        <v>105</v>
      </c>
      <c r="G92" s="49">
        <f t="shared" si="3"/>
        <v>1.1474786680698068</v>
      </c>
    </row>
    <row r="93" spans="1:7" ht="15" x14ac:dyDescent="0.25">
      <c r="A93" s="8" t="s">
        <v>52</v>
      </c>
      <c r="B93" s="34">
        <v>35695</v>
      </c>
      <c r="C93" s="34">
        <v>43995</v>
      </c>
      <c r="D93" s="43">
        <f t="shared" si="4"/>
        <v>0.63740546492422701</v>
      </c>
      <c r="E93" s="34">
        <f>IFERROR(VLOOKUP(A93,Belastningsfaktor!$B$9:$E$108,2,FALSE),"")</f>
        <v>69022</v>
      </c>
      <c r="F93" s="40"/>
      <c r="G93" s="49">
        <f t="shared" si="3"/>
        <v>1.1383881210394766</v>
      </c>
    </row>
    <row r="94" spans="1:7" ht="15" x14ac:dyDescent="0.25">
      <c r="A94" s="8" t="s">
        <v>47</v>
      </c>
      <c r="B94" s="34">
        <v>21585</v>
      </c>
      <c r="C94" s="34">
        <v>26916</v>
      </c>
      <c r="D94" s="43">
        <f t="shared" si="4"/>
        <v>0.62884911920003739</v>
      </c>
      <c r="E94" s="34">
        <f>IFERROR(VLOOKUP(A94,Belastningsfaktor!$B$9:$E$108,2,FALSE),"")</f>
        <v>42802</v>
      </c>
      <c r="F94" s="40"/>
      <c r="G94" s="49">
        <f t="shared" si="3"/>
        <v>1.1298317753152869</v>
      </c>
    </row>
    <row r="95" spans="1:7" ht="15" x14ac:dyDescent="0.25">
      <c r="A95" s="8" t="s">
        <v>58</v>
      </c>
      <c r="B95" s="34">
        <v>28088</v>
      </c>
      <c r="C95" s="34">
        <v>35854</v>
      </c>
      <c r="D95" s="43">
        <f t="shared" si="4"/>
        <v>0.64028430094469346</v>
      </c>
      <c r="E95" s="34">
        <f>IFERROR(VLOOKUP(A95,Belastningsfaktor!$B$9:$E$108,2,FALSE),"")</f>
        <v>55997</v>
      </c>
      <c r="F95" s="40"/>
      <c r="G95" s="49">
        <f t="shared" si="3"/>
        <v>1.141266957059943</v>
      </c>
    </row>
    <row r="96" spans="1:7" ht="15" x14ac:dyDescent="0.25">
      <c r="A96" s="8" t="s">
        <v>100</v>
      </c>
      <c r="B96" s="34">
        <v>13596</v>
      </c>
      <c r="C96" s="34">
        <v>18768</v>
      </c>
      <c r="D96" s="43">
        <f t="shared" si="4"/>
        <v>0.7069459092963688</v>
      </c>
      <c r="E96" s="34">
        <f>IFERROR(VLOOKUP(A96,Belastningsfaktor!$B$9:$E$108,2,FALSE),"")</f>
        <v>26548</v>
      </c>
      <c r="F96" s="40"/>
      <c r="G96" s="49">
        <f t="shared" si="3"/>
        <v>1.2079285654116183</v>
      </c>
    </row>
    <row r="97" spans="1:7" ht="15" x14ac:dyDescent="0.25">
      <c r="A97" s="8" t="s">
        <v>56</v>
      </c>
      <c r="B97" s="34">
        <v>25195</v>
      </c>
      <c r="C97" s="34">
        <v>38781</v>
      </c>
      <c r="D97" s="43">
        <f t="shared" si="4"/>
        <v>0.76734798868200793</v>
      </c>
      <c r="E97" s="34">
        <f>IFERROR(VLOOKUP(A97,Belastningsfaktor!$B$9:$E$108,2,FALSE),"")</f>
        <v>50539</v>
      </c>
      <c r="F97" s="40"/>
      <c r="G97" s="49">
        <f t="shared" si="3"/>
        <v>1.2683306447972575</v>
      </c>
    </row>
    <row r="98" spans="1:7" ht="15" x14ac:dyDescent="0.25">
      <c r="A98" s="8" t="s">
        <v>50</v>
      </c>
      <c r="B98" s="34">
        <v>16184</v>
      </c>
      <c r="C98" s="34">
        <v>24982</v>
      </c>
      <c r="D98" s="43">
        <f t="shared" si="4"/>
        <v>0.71495621315322533</v>
      </c>
      <c r="E98" s="34">
        <f>IFERROR(VLOOKUP(A98,Belastningsfaktor!$B$9:$E$108,2,FALSE),"")</f>
        <v>34942</v>
      </c>
      <c r="F98" s="40"/>
      <c r="G98" s="49">
        <f t="shared" si="3"/>
        <v>1.2159388692684749</v>
      </c>
    </row>
    <row r="99" spans="1:7" ht="15" x14ac:dyDescent="0.25">
      <c r="A99" s="8" t="s">
        <v>48</v>
      </c>
      <c r="B99" s="34">
        <v>13069</v>
      </c>
      <c r="C99" s="34">
        <v>20788</v>
      </c>
      <c r="D99" s="43">
        <f t="shared" si="4"/>
        <v>0.75256127140426454</v>
      </c>
      <c r="E99" s="34">
        <f>IFERROR(VLOOKUP(A99,Belastningsfaktor!$B$9:$E$108,2,FALSE),"")</f>
        <v>27623</v>
      </c>
      <c r="F99" s="40"/>
      <c r="G99" s="49">
        <f t="shared" si="3"/>
        <v>1.2535439275195142</v>
      </c>
    </row>
    <row r="100" spans="1:7" ht="15" x14ac:dyDescent="0.25">
      <c r="A100" s="8" t="s">
        <v>54</v>
      </c>
      <c r="B100" s="34">
        <v>14010</v>
      </c>
      <c r="C100" s="34">
        <v>23183</v>
      </c>
      <c r="D100" s="43">
        <f t="shared" si="4"/>
        <v>0.80653353743389922</v>
      </c>
      <c r="E100" s="34">
        <f>IFERROR(VLOOKUP(A100,Belastningsfaktor!$B$9:$E$108,2,FALSE),"")</f>
        <v>28744</v>
      </c>
      <c r="F100" s="40"/>
      <c r="G100" s="49">
        <f t="shared" si="3"/>
        <v>1.3075161935491488</v>
      </c>
    </row>
    <row r="101" spans="1:7" ht="15" x14ac:dyDescent="0.25">
      <c r="A101" s="8" t="s">
        <v>49</v>
      </c>
      <c r="B101" s="34">
        <v>23200</v>
      </c>
      <c r="C101" s="34">
        <v>43191</v>
      </c>
      <c r="D101" s="43">
        <f t="shared" si="4"/>
        <v>0.89042592668948173</v>
      </c>
      <c r="E101" s="34">
        <f>IFERROR(VLOOKUP(A101,Belastningsfaktor!$B$9:$E$108,2,FALSE),"")</f>
        <v>48506</v>
      </c>
      <c r="F101" s="40"/>
      <c r="G101" s="49">
        <f t="shared" si="3"/>
        <v>1.3914085828047313</v>
      </c>
    </row>
    <row r="102" spans="1:7" ht="15" x14ac:dyDescent="0.25">
      <c r="A102" s="8" t="s">
        <v>53</v>
      </c>
      <c r="B102" s="34">
        <v>11389</v>
      </c>
      <c r="C102" s="34">
        <v>21889</v>
      </c>
      <c r="D102" s="43">
        <f t="shared" si="4"/>
        <v>0.95844644890095454</v>
      </c>
      <c r="E102" s="34">
        <f>IFERROR(VLOOKUP(A102,Belastningsfaktor!$B$9:$E$108,2,FALSE),"")</f>
        <v>22838</v>
      </c>
      <c r="F102" s="40"/>
      <c r="G102" s="49">
        <f t="shared" si="3"/>
        <v>1.459429105016204</v>
      </c>
    </row>
    <row r="103" spans="1:7" ht="15" x14ac:dyDescent="0.25"/>
    <row r="104" spans="1:7" ht="15" x14ac:dyDescent="0.25"/>
  </sheetData>
  <autoFilter ref="A3:G102"/>
  <pageMargins left="0.23622047244094491" right="0.23622047244094491" top="0.74803149606299213" bottom="0.74803149606299213" header="0.31496062992125984" footer="0.31496062992125984"/>
  <pageSetup paperSize="9" fitToWidth="0" fitToHeight="0" orientation="landscape" r:id="rId1"/>
  <headerFooter>
    <oddHeader xml:space="preserve">&amp;L&amp;G&amp;R&amp;18 </oddHeader>
    <oddFooter>&amp;C&amp;"Verdana,Regular"&amp;8&amp;P / &amp;K000000&amp;N&amp;LRM2644Z3JAHN-1315876101-408</oddFooter>
    <firstHeader xml:space="preserve">&amp;L&amp;G&amp;R&amp;18 </firstHeader>
    <firstFooter xml:space="preserve">&amp;L&amp;"Verdana,Regular"&amp;8NIRAS A/S
Sortemosevej 19
3450 Allerød, Denmark&amp;C&amp;8Reg. No. 37295728 Denmark
FRI, FIDIC
www.niras.com&amp;R&amp;"Verdana,Regular"&amp;8T: +45 4810 4200   
F: +45 4810 4300 
E: niras@niras.dk  </first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workbookViewId="0">
      <selection activeCell="L92" sqref="L92"/>
    </sheetView>
  </sheetViews>
  <sheetFormatPr defaultRowHeight="15" x14ac:dyDescent="0.25"/>
  <cols>
    <col min="1" max="1" width="28.7109375" style="9" customWidth="1"/>
    <col min="2" max="2" width="17.5703125" style="9" customWidth="1"/>
    <col min="3" max="3" width="30.7109375" style="9" customWidth="1"/>
    <col min="4" max="4" width="14.140625" style="9" customWidth="1"/>
    <col min="5" max="5" width="11" style="9" customWidth="1"/>
    <col min="6" max="6" width="18.7109375" style="9" customWidth="1"/>
    <col min="7" max="7" width="12.85546875" style="9" customWidth="1"/>
    <col min="8" max="8" width="8.42578125" style="9" customWidth="1"/>
    <col min="9" max="9" width="20.7109375" style="9" customWidth="1"/>
    <col min="10" max="10" width="23.85546875" style="9" customWidth="1"/>
    <col min="11" max="11" width="30" style="9" customWidth="1"/>
    <col min="12" max="12" width="42.85546875" style="9" bestFit="1" customWidth="1"/>
    <col min="13" max="13" width="35" style="9" bestFit="1" customWidth="1"/>
    <col min="14" max="16384" width="9.140625" style="9"/>
  </cols>
  <sheetData>
    <row r="1" spans="1:13" x14ac:dyDescent="0.25">
      <c r="A1" s="14" t="s">
        <v>195</v>
      </c>
    </row>
    <row r="3" spans="1:13" x14ac:dyDescent="0.25">
      <c r="A3" s="10" t="s">
        <v>196</v>
      </c>
      <c r="B3" s="10" t="s">
        <v>197</v>
      </c>
      <c r="C3" s="10" t="s">
        <v>198</v>
      </c>
      <c r="D3" s="10" t="s">
        <v>199</v>
      </c>
      <c r="E3" s="10" t="s">
        <v>200</v>
      </c>
      <c r="F3" s="10" t="s">
        <v>201</v>
      </c>
      <c r="G3" s="10" t="s">
        <v>202</v>
      </c>
      <c r="H3" s="10" t="s">
        <v>203</v>
      </c>
      <c r="I3" s="10" t="s">
        <v>204</v>
      </c>
      <c r="J3" s="10" t="s">
        <v>205</v>
      </c>
      <c r="K3" s="10" t="s">
        <v>206</v>
      </c>
      <c r="L3" s="14" t="s">
        <v>207</v>
      </c>
      <c r="M3" s="10" t="s">
        <v>208</v>
      </c>
    </row>
    <row r="4" spans="1:13" x14ac:dyDescent="0.25">
      <c r="A4" s="15" t="s">
        <v>188</v>
      </c>
      <c r="B4" s="11">
        <v>3017721</v>
      </c>
      <c r="C4" s="11">
        <v>770396</v>
      </c>
      <c r="D4" s="11">
        <v>1887697</v>
      </c>
      <c r="E4" s="11">
        <v>44478</v>
      </c>
      <c r="F4" s="11">
        <v>12619</v>
      </c>
      <c r="G4" s="11">
        <v>38732</v>
      </c>
      <c r="H4" s="11">
        <v>20312</v>
      </c>
      <c r="I4" s="12">
        <f>SUM(B4:H4)</f>
        <v>5791955</v>
      </c>
      <c r="J4" s="13">
        <f>D4/I4</f>
        <v>0.3259170694523697</v>
      </c>
      <c r="K4" s="19">
        <f>(J4/$J$4)-1</f>
        <v>0</v>
      </c>
      <c r="L4" s="16"/>
      <c r="M4" s="17">
        <f>K4+1</f>
        <v>1</v>
      </c>
    </row>
    <row r="5" spans="1:13" x14ac:dyDescent="0.25">
      <c r="A5" s="10" t="s">
        <v>209</v>
      </c>
      <c r="B5" s="11">
        <v>533037</v>
      </c>
      <c r="C5" s="11">
        <v>254286</v>
      </c>
      <c r="D5" s="11">
        <v>1006821</v>
      </c>
      <c r="E5" s="11">
        <v>19910</v>
      </c>
      <c r="F5" s="11">
        <v>3246</v>
      </c>
      <c r="G5" s="11">
        <v>11590</v>
      </c>
      <c r="H5" s="11">
        <v>5325</v>
      </c>
      <c r="I5" s="12">
        <f t="shared" ref="I5:I68" si="0">SUM(B5:H5)</f>
        <v>1834215</v>
      </c>
      <c r="J5" s="13">
        <f t="shared" ref="J5:J68" si="1">D5/I5</f>
        <v>0.54891111456399599</v>
      </c>
      <c r="K5" s="19">
        <f t="shared" ref="K5:K68" si="2">(J5/$J$4)-1</f>
        <v>0.68420486685866932</v>
      </c>
      <c r="M5" s="17">
        <f t="shared" ref="M5:M68" si="3">K5+1</f>
        <v>1.6842048668586693</v>
      </c>
    </row>
    <row r="6" spans="1:13" x14ac:dyDescent="0.25">
      <c r="A6" s="10" t="s">
        <v>210</v>
      </c>
      <c r="B6" s="11">
        <v>76554</v>
      </c>
      <c r="C6" s="11">
        <v>36902</v>
      </c>
      <c r="D6" s="11">
        <v>657563</v>
      </c>
      <c r="E6" s="11">
        <v>12144</v>
      </c>
      <c r="F6" s="11">
        <v>1110</v>
      </c>
      <c r="G6" s="11">
        <v>545</v>
      </c>
      <c r="H6" s="11">
        <v>2517</v>
      </c>
      <c r="I6" s="12">
        <f t="shared" si="0"/>
        <v>787335</v>
      </c>
      <c r="J6" s="13">
        <f t="shared" si="1"/>
        <v>0.83517562409901758</v>
      </c>
      <c r="K6" s="19">
        <f t="shared" si="2"/>
        <v>1.5625402974515641</v>
      </c>
      <c r="M6" s="17">
        <f t="shared" si="3"/>
        <v>2.5625402974515641</v>
      </c>
    </row>
    <row r="7" spans="1:13" x14ac:dyDescent="0.25">
      <c r="A7" s="15" t="s">
        <v>44</v>
      </c>
      <c r="B7" s="11">
        <v>44752</v>
      </c>
      <c r="C7" s="11">
        <v>27333</v>
      </c>
      <c r="D7" s="11">
        <v>540630</v>
      </c>
      <c r="E7" s="11">
        <v>10525</v>
      </c>
      <c r="F7" s="11">
        <v>908</v>
      </c>
      <c r="G7" s="11">
        <v>185</v>
      </c>
      <c r="H7" s="11">
        <v>2039</v>
      </c>
      <c r="I7" s="12">
        <f t="shared" si="0"/>
        <v>626372</v>
      </c>
      <c r="J7" s="13">
        <f>D7/I7</f>
        <v>0.86311329369767487</v>
      </c>
      <c r="K7" s="19">
        <f t="shared" si="2"/>
        <v>1.6482604766542068</v>
      </c>
      <c r="L7" s="18">
        <v>105</v>
      </c>
      <c r="M7" s="17">
        <f>K7+1</f>
        <v>2.6482604766542068</v>
      </c>
    </row>
    <row r="8" spans="1:13" x14ac:dyDescent="0.25">
      <c r="A8" s="10" t="s">
        <v>45</v>
      </c>
      <c r="B8" s="11">
        <v>3225</v>
      </c>
      <c r="C8" s="11">
        <v>1792</v>
      </c>
      <c r="D8" s="11">
        <v>96872</v>
      </c>
      <c r="E8" s="11">
        <v>1594</v>
      </c>
      <c r="F8" s="11">
        <v>133</v>
      </c>
      <c r="G8" s="11">
        <v>0</v>
      </c>
      <c r="H8" s="11">
        <v>170</v>
      </c>
      <c r="I8" s="12">
        <f t="shared" si="0"/>
        <v>103786</v>
      </c>
      <c r="J8" s="13">
        <f t="shared" si="1"/>
        <v>0.93338215173530148</v>
      </c>
      <c r="K8" s="19">
        <f t="shared" si="2"/>
        <v>1.863863967921779</v>
      </c>
      <c r="M8" s="17">
        <f t="shared" si="3"/>
        <v>2.863863967921779</v>
      </c>
    </row>
    <row r="9" spans="1:13" x14ac:dyDescent="0.25">
      <c r="A9" s="10" t="s">
        <v>46</v>
      </c>
      <c r="B9" s="11">
        <v>8602</v>
      </c>
      <c r="C9" s="11">
        <v>3231</v>
      </c>
      <c r="D9" s="11">
        <v>2125</v>
      </c>
      <c r="E9" s="11">
        <v>0</v>
      </c>
      <c r="F9" s="11">
        <v>69</v>
      </c>
      <c r="G9" s="11">
        <v>146</v>
      </c>
      <c r="H9" s="11">
        <v>202</v>
      </c>
      <c r="I9" s="12">
        <f t="shared" si="0"/>
        <v>14375</v>
      </c>
      <c r="J9" s="13">
        <f t="shared" si="1"/>
        <v>0.14782608695652175</v>
      </c>
      <c r="K9" s="19">
        <f t="shared" si="2"/>
        <v>-0.54643036277630319</v>
      </c>
      <c r="M9" s="17">
        <f t="shared" si="3"/>
        <v>0.45356963722369681</v>
      </c>
    </row>
    <row r="10" spans="1:13" x14ac:dyDescent="0.25">
      <c r="A10" s="10" t="s">
        <v>47</v>
      </c>
      <c r="B10" s="11">
        <v>19975</v>
      </c>
      <c r="C10" s="11">
        <v>4546</v>
      </c>
      <c r="D10" s="11">
        <v>17936</v>
      </c>
      <c r="E10" s="11">
        <v>25</v>
      </c>
      <c r="F10" s="11">
        <v>0</v>
      </c>
      <c r="G10" s="11">
        <v>214</v>
      </c>
      <c r="H10" s="11">
        <v>106</v>
      </c>
      <c r="I10" s="12">
        <f t="shared" si="0"/>
        <v>42802</v>
      </c>
      <c r="J10" s="13">
        <f t="shared" si="1"/>
        <v>0.41904583897948694</v>
      </c>
      <c r="K10" s="19">
        <f t="shared" si="2"/>
        <v>0.28574376200546725</v>
      </c>
      <c r="M10" s="17">
        <f t="shared" si="3"/>
        <v>1.2857437620054673</v>
      </c>
    </row>
    <row r="11" spans="1:13" x14ac:dyDescent="0.25">
      <c r="A11" s="10" t="s">
        <v>211</v>
      </c>
      <c r="B11" s="11">
        <v>179596</v>
      </c>
      <c r="C11" s="11">
        <v>113917</v>
      </c>
      <c r="D11" s="11">
        <v>244357</v>
      </c>
      <c r="E11" s="11">
        <v>5990</v>
      </c>
      <c r="F11" s="11">
        <v>1149</v>
      </c>
      <c r="G11" s="11">
        <v>223</v>
      </c>
      <c r="H11" s="11">
        <v>780</v>
      </c>
      <c r="I11" s="12">
        <f t="shared" si="0"/>
        <v>546012</v>
      </c>
      <c r="J11" s="13">
        <f t="shared" si="1"/>
        <v>0.44753045720606871</v>
      </c>
      <c r="K11" s="19">
        <f t="shared" si="2"/>
        <v>0.37314212464552088</v>
      </c>
      <c r="M11" s="17">
        <f t="shared" si="3"/>
        <v>1.3731421246455209</v>
      </c>
    </row>
    <row r="12" spans="1:13" x14ac:dyDescent="0.25">
      <c r="A12" s="10" t="s">
        <v>48</v>
      </c>
      <c r="B12" s="11">
        <v>4407</v>
      </c>
      <c r="C12" s="11">
        <v>13640</v>
      </c>
      <c r="D12" s="11">
        <v>8024</v>
      </c>
      <c r="E12" s="11">
        <v>1531</v>
      </c>
      <c r="F12" s="11">
        <v>0</v>
      </c>
      <c r="G12" s="11">
        <v>0</v>
      </c>
      <c r="H12" s="11">
        <v>21</v>
      </c>
      <c r="I12" s="12">
        <f t="shared" si="0"/>
        <v>27623</v>
      </c>
      <c r="J12" s="13">
        <f t="shared" si="1"/>
        <v>0.29048256887376461</v>
      </c>
      <c r="K12" s="19">
        <f t="shared" si="2"/>
        <v>-0.10872244475609949</v>
      </c>
      <c r="M12" s="17">
        <f t="shared" si="3"/>
        <v>0.89127755524390051</v>
      </c>
    </row>
    <row r="13" spans="1:13" x14ac:dyDescent="0.25">
      <c r="A13" s="10" t="s">
        <v>49</v>
      </c>
      <c r="B13" s="11">
        <v>18116</v>
      </c>
      <c r="C13" s="11">
        <v>8413</v>
      </c>
      <c r="D13" s="11">
        <v>21402</v>
      </c>
      <c r="E13" s="11">
        <v>125</v>
      </c>
      <c r="F13" s="11">
        <v>387</v>
      </c>
      <c r="G13" s="11">
        <v>24</v>
      </c>
      <c r="H13" s="11">
        <v>39</v>
      </c>
      <c r="I13" s="12">
        <f t="shared" si="0"/>
        <v>48506</v>
      </c>
      <c r="J13" s="13">
        <f t="shared" si="1"/>
        <v>0.44122376613202491</v>
      </c>
      <c r="K13" s="19">
        <f t="shared" si="2"/>
        <v>0.35379152394013036</v>
      </c>
      <c r="M13" s="17">
        <f t="shared" si="3"/>
        <v>1.3537915239401304</v>
      </c>
    </row>
    <row r="14" spans="1:13" x14ac:dyDescent="0.25">
      <c r="A14" s="10" t="s">
        <v>50</v>
      </c>
      <c r="B14" s="11">
        <v>9626</v>
      </c>
      <c r="C14" s="11">
        <v>5454</v>
      </c>
      <c r="D14" s="11">
        <v>19630</v>
      </c>
      <c r="E14" s="11">
        <v>49</v>
      </c>
      <c r="F14" s="11">
        <v>113</v>
      </c>
      <c r="G14" s="11">
        <v>0</v>
      </c>
      <c r="H14" s="11">
        <v>70</v>
      </c>
      <c r="I14" s="12">
        <f t="shared" si="0"/>
        <v>34942</v>
      </c>
      <c r="J14" s="13">
        <f t="shared" si="1"/>
        <v>0.56178810600423557</v>
      </c>
      <c r="K14" s="19">
        <f t="shared" si="2"/>
        <v>0.72371489148510704</v>
      </c>
      <c r="M14" s="17">
        <f t="shared" si="3"/>
        <v>1.723714891485107</v>
      </c>
    </row>
    <row r="15" spans="1:13" x14ac:dyDescent="0.25">
      <c r="A15" s="10" t="s">
        <v>51</v>
      </c>
      <c r="B15" s="11">
        <v>31661</v>
      </c>
      <c r="C15" s="11">
        <v>6047</v>
      </c>
      <c r="D15" s="11">
        <v>36718</v>
      </c>
      <c r="E15" s="11">
        <v>38</v>
      </c>
      <c r="F15" s="11">
        <v>18</v>
      </c>
      <c r="G15" s="11">
        <v>1</v>
      </c>
      <c r="H15" s="11">
        <v>41</v>
      </c>
      <c r="I15" s="12">
        <f t="shared" si="0"/>
        <v>74524</v>
      </c>
      <c r="J15" s="13">
        <f t="shared" si="1"/>
        <v>0.49270033814610059</v>
      </c>
      <c r="K15" s="19">
        <f t="shared" si="2"/>
        <v>0.51173529810504448</v>
      </c>
      <c r="M15" s="17">
        <f t="shared" si="3"/>
        <v>1.5117352981050445</v>
      </c>
    </row>
    <row r="16" spans="1:13" x14ac:dyDescent="0.25">
      <c r="A16" s="10" t="s">
        <v>52</v>
      </c>
      <c r="B16" s="11">
        <v>19894</v>
      </c>
      <c r="C16" s="11">
        <v>15740</v>
      </c>
      <c r="D16" s="11">
        <v>31771</v>
      </c>
      <c r="E16" s="11">
        <v>1424</v>
      </c>
      <c r="F16" s="11">
        <v>146</v>
      </c>
      <c r="G16" s="11">
        <v>0</v>
      </c>
      <c r="H16" s="11">
        <v>47</v>
      </c>
      <c r="I16" s="12">
        <f t="shared" si="0"/>
        <v>69022</v>
      </c>
      <c r="J16" s="13">
        <f t="shared" si="1"/>
        <v>0.46030251224247343</v>
      </c>
      <c r="K16" s="19">
        <f t="shared" si="2"/>
        <v>0.41233017655659521</v>
      </c>
      <c r="M16" s="17">
        <f t="shared" si="3"/>
        <v>1.4123301765565952</v>
      </c>
    </row>
    <row r="17" spans="1:13" x14ac:dyDescent="0.25">
      <c r="A17" s="10" t="s">
        <v>53</v>
      </c>
      <c r="B17" s="11">
        <v>7633</v>
      </c>
      <c r="C17" s="11">
        <v>3747</v>
      </c>
      <c r="D17" s="11">
        <v>11375</v>
      </c>
      <c r="E17" s="11">
        <v>0</v>
      </c>
      <c r="F17" s="11">
        <v>25</v>
      </c>
      <c r="G17" s="11">
        <v>29</v>
      </c>
      <c r="H17" s="11">
        <v>29</v>
      </c>
      <c r="I17" s="12">
        <f t="shared" si="0"/>
        <v>22838</v>
      </c>
      <c r="J17" s="13">
        <f t="shared" si="1"/>
        <v>0.49807338646116123</v>
      </c>
      <c r="K17" s="19">
        <f t="shared" si="2"/>
        <v>0.52822123523036546</v>
      </c>
      <c r="M17" s="17">
        <f t="shared" si="3"/>
        <v>1.5282212352303655</v>
      </c>
    </row>
    <row r="18" spans="1:13" x14ac:dyDescent="0.25">
      <c r="A18" s="10" t="s">
        <v>54</v>
      </c>
      <c r="B18" s="11">
        <v>8875</v>
      </c>
      <c r="C18" s="11">
        <v>8919</v>
      </c>
      <c r="D18" s="11">
        <v>10334</v>
      </c>
      <c r="E18" s="11">
        <v>494</v>
      </c>
      <c r="F18" s="11">
        <v>49</v>
      </c>
      <c r="G18" s="11">
        <v>50</v>
      </c>
      <c r="H18" s="11">
        <v>23</v>
      </c>
      <c r="I18" s="12">
        <f t="shared" si="0"/>
        <v>28744</v>
      </c>
      <c r="J18" s="13">
        <f t="shared" si="1"/>
        <v>0.35951850821040915</v>
      </c>
      <c r="K18" s="19">
        <f t="shared" si="2"/>
        <v>0.10309812497547033</v>
      </c>
      <c r="M18" s="17">
        <f t="shared" si="3"/>
        <v>1.1030981249754703</v>
      </c>
    </row>
    <row r="19" spans="1:13" x14ac:dyDescent="0.25">
      <c r="A19" s="10" t="s">
        <v>55</v>
      </c>
      <c r="B19" s="11">
        <v>20690</v>
      </c>
      <c r="C19" s="11">
        <v>7920</v>
      </c>
      <c r="D19" s="11">
        <v>23877</v>
      </c>
      <c r="E19" s="11">
        <v>632</v>
      </c>
      <c r="F19" s="11">
        <v>124</v>
      </c>
      <c r="G19" s="11">
        <v>3</v>
      </c>
      <c r="H19" s="11">
        <v>106</v>
      </c>
      <c r="I19" s="12">
        <f t="shared" si="0"/>
        <v>53352</v>
      </c>
      <c r="J19" s="13">
        <f t="shared" si="1"/>
        <v>0.44753711201079621</v>
      </c>
      <c r="K19" s="19">
        <f t="shared" si="2"/>
        <v>0.37316254335123245</v>
      </c>
      <c r="M19" s="17">
        <f t="shared" si="3"/>
        <v>1.3731625433512324</v>
      </c>
    </row>
    <row r="20" spans="1:13" x14ac:dyDescent="0.25">
      <c r="A20" s="10" t="s">
        <v>56</v>
      </c>
      <c r="B20" s="11">
        <v>17115</v>
      </c>
      <c r="C20" s="11">
        <v>12735</v>
      </c>
      <c r="D20" s="11">
        <v>20372</v>
      </c>
      <c r="E20" s="11">
        <v>1</v>
      </c>
      <c r="F20" s="11">
        <v>51</v>
      </c>
      <c r="G20" s="11">
        <v>66</v>
      </c>
      <c r="H20" s="11">
        <v>199</v>
      </c>
      <c r="I20" s="12">
        <f t="shared" si="0"/>
        <v>50539</v>
      </c>
      <c r="J20" s="13">
        <f t="shared" si="1"/>
        <v>0.40309463978313775</v>
      </c>
      <c r="K20" s="19">
        <f t="shared" si="2"/>
        <v>0.23680125272495722</v>
      </c>
      <c r="M20" s="17">
        <f t="shared" si="3"/>
        <v>1.2368012527249572</v>
      </c>
    </row>
    <row r="21" spans="1:13" x14ac:dyDescent="0.25">
      <c r="A21" s="10" t="s">
        <v>57</v>
      </c>
      <c r="B21" s="11">
        <v>5280</v>
      </c>
      <c r="C21" s="11">
        <v>5527</v>
      </c>
      <c r="D21" s="11">
        <v>11906</v>
      </c>
      <c r="E21" s="11">
        <v>0</v>
      </c>
      <c r="F21" s="11">
        <v>23</v>
      </c>
      <c r="G21" s="11">
        <v>40</v>
      </c>
      <c r="H21" s="11">
        <v>50</v>
      </c>
      <c r="I21" s="12">
        <f t="shared" si="0"/>
        <v>22826</v>
      </c>
      <c r="J21" s="13">
        <f t="shared" si="1"/>
        <v>0.52159817751686677</v>
      </c>
      <c r="K21" s="19">
        <f t="shared" si="2"/>
        <v>0.60040153279880415</v>
      </c>
      <c r="M21" s="17">
        <f t="shared" si="3"/>
        <v>1.6004015327988041</v>
      </c>
    </row>
    <row r="22" spans="1:13" x14ac:dyDescent="0.25">
      <c r="A22" s="10" t="s">
        <v>58</v>
      </c>
      <c r="B22" s="11">
        <v>18346</v>
      </c>
      <c r="C22" s="11">
        <v>12210</v>
      </c>
      <c r="D22" s="11">
        <v>23595</v>
      </c>
      <c r="E22" s="11">
        <v>1670</v>
      </c>
      <c r="F22" s="11">
        <v>41</v>
      </c>
      <c r="G22" s="11">
        <v>6</v>
      </c>
      <c r="H22" s="11">
        <v>129</v>
      </c>
      <c r="I22" s="12">
        <f t="shared" si="0"/>
        <v>55997</v>
      </c>
      <c r="J22" s="13">
        <f t="shared" si="1"/>
        <v>0.42136185867100023</v>
      </c>
      <c r="K22" s="19">
        <f t="shared" si="2"/>
        <v>0.29284992461120263</v>
      </c>
      <c r="M22" s="17">
        <f t="shared" si="3"/>
        <v>1.2928499246112026</v>
      </c>
    </row>
    <row r="23" spans="1:13" x14ac:dyDescent="0.25">
      <c r="A23" s="10" t="s">
        <v>59</v>
      </c>
      <c r="B23" s="11">
        <v>12005</v>
      </c>
      <c r="C23" s="11">
        <v>9035</v>
      </c>
      <c r="D23" s="11">
        <v>19377</v>
      </c>
      <c r="E23" s="11">
        <v>26</v>
      </c>
      <c r="F23" s="11">
        <v>63</v>
      </c>
      <c r="G23" s="11">
        <v>0</v>
      </c>
      <c r="H23" s="11">
        <v>13</v>
      </c>
      <c r="I23" s="12">
        <f t="shared" si="0"/>
        <v>40519</v>
      </c>
      <c r="J23" s="13">
        <f t="shared" si="1"/>
        <v>0.47822009427675904</v>
      </c>
      <c r="K23" s="19">
        <f t="shared" si="2"/>
        <v>0.46730606985482637</v>
      </c>
      <c r="M23" s="17">
        <f t="shared" si="3"/>
        <v>1.4673060698548264</v>
      </c>
    </row>
    <row r="24" spans="1:13" x14ac:dyDescent="0.25">
      <c r="A24" s="10" t="s">
        <v>60</v>
      </c>
      <c r="B24" s="11">
        <v>5948</v>
      </c>
      <c r="C24" s="11">
        <v>4530</v>
      </c>
      <c r="D24" s="11">
        <v>5976</v>
      </c>
      <c r="E24" s="11">
        <v>0</v>
      </c>
      <c r="F24" s="11">
        <v>109</v>
      </c>
      <c r="G24" s="11">
        <v>4</v>
      </c>
      <c r="H24" s="11">
        <v>13</v>
      </c>
      <c r="I24" s="12">
        <f t="shared" si="0"/>
        <v>16580</v>
      </c>
      <c r="J24" s="13">
        <f t="shared" si="1"/>
        <v>0.36043425814234015</v>
      </c>
      <c r="K24" s="19">
        <f t="shared" si="2"/>
        <v>0.10590788861709144</v>
      </c>
      <c r="M24" s="17">
        <f t="shared" si="3"/>
        <v>1.1059078886170914</v>
      </c>
    </row>
    <row r="25" spans="1:13" x14ac:dyDescent="0.25">
      <c r="A25" s="10" t="s">
        <v>212</v>
      </c>
      <c r="B25" s="11">
        <v>250055</v>
      </c>
      <c r="C25" s="11">
        <v>94929</v>
      </c>
      <c r="D25" s="11">
        <v>101682</v>
      </c>
      <c r="E25" s="11">
        <v>1591</v>
      </c>
      <c r="F25" s="11">
        <v>942</v>
      </c>
      <c r="G25" s="11">
        <v>10512</v>
      </c>
      <c r="H25" s="11">
        <v>1811</v>
      </c>
      <c r="I25" s="12">
        <f t="shared" si="0"/>
        <v>461522</v>
      </c>
      <c r="J25" s="13">
        <f t="shared" si="1"/>
        <v>0.22031885803927007</v>
      </c>
      <c r="K25" s="19">
        <f t="shared" si="2"/>
        <v>-0.32400331652016157</v>
      </c>
      <c r="M25" s="17">
        <f t="shared" si="3"/>
        <v>0.67599668347983843</v>
      </c>
    </row>
    <row r="26" spans="1:13" x14ac:dyDescent="0.25">
      <c r="A26" s="10" t="s">
        <v>61</v>
      </c>
      <c r="B26" s="11">
        <v>15583</v>
      </c>
      <c r="C26" s="11">
        <v>6320</v>
      </c>
      <c r="D26" s="11">
        <v>3503</v>
      </c>
      <c r="E26" s="11">
        <v>0</v>
      </c>
      <c r="F26" s="11">
        <v>8</v>
      </c>
      <c r="G26" s="11">
        <v>36</v>
      </c>
      <c r="H26" s="11">
        <v>63</v>
      </c>
      <c r="I26" s="12">
        <f t="shared" si="0"/>
        <v>25513</v>
      </c>
      <c r="J26" s="13">
        <f t="shared" si="1"/>
        <v>0.13730255164034022</v>
      </c>
      <c r="K26" s="19">
        <f t="shared" si="2"/>
        <v>-0.57871935989407897</v>
      </c>
      <c r="M26" s="17">
        <f t="shared" si="3"/>
        <v>0.42128064010592103</v>
      </c>
    </row>
    <row r="27" spans="1:13" x14ac:dyDescent="0.25">
      <c r="A27" s="10" t="s">
        <v>62</v>
      </c>
      <c r="B27" s="11">
        <v>26509</v>
      </c>
      <c r="C27" s="11">
        <v>12624</v>
      </c>
      <c r="D27" s="11">
        <v>3327</v>
      </c>
      <c r="E27" s="11">
        <v>75</v>
      </c>
      <c r="F27" s="11">
        <v>102</v>
      </c>
      <c r="G27" s="11">
        <v>391</v>
      </c>
      <c r="H27" s="11">
        <v>153</v>
      </c>
      <c r="I27" s="12">
        <f t="shared" si="0"/>
        <v>43181</v>
      </c>
      <c r="J27" s="13">
        <f t="shared" si="1"/>
        <v>7.7047775642064803E-2</v>
      </c>
      <c r="K27" s="19">
        <f t="shared" si="2"/>
        <v>-0.76359699180062512</v>
      </c>
      <c r="M27" s="17">
        <f t="shared" si="3"/>
        <v>0.23640300819937488</v>
      </c>
    </row>
    <row r="28" spans="1:13" x14ac:dyDescent="0.25">
      <c r="A28" s="10" t="s">
        <v>63</v>
      </c>
      <c r="B28" s="11">
        <v>17083</v>
      </c>
      <c r="C28" s="11">
        <v>13977</v>
      </c>
      <c r="D28" s="11">
        <v>9250</v>
      </c>
      <c r="E28" s="11">
        <v>0</v>
      </c>
      <c r="F28" s="11">
        <v>131</v>
      </c>
      <c r="G28" s="11">
        <v>31</v>
      </c>
      <c r="H28" s="11">
        <v>198</v>
      </c>
      <c r="I28" s="12">
        <f t="shared" si="0"/>
        <v>40670</v>
      </c>
      <c r="J28" s="13">
        <f t="shared" si="1"/>
        <v>0.2274403737398574</v>
      </c>
      <c r="K28" s="19">
        <f t="shared" si="2"/>
        <v>-0.30215261777476166</v>
      </c>
      <c r="M28" s="17">
        <f t="shared" si="3"/>
        <v>0.69784738222523834</v>
      </c>
    </row>
    <row r="29" spans="1:13" x14ac:dyDescent="0.25">
      <c r="A29" s="10" t="s">
        <v>64</v>
      </c>
      <c r="B29" s="11">
        <v>27425</v>
      </c>
      <c r="C29" s="11">
        <v>8138</v>
      </c>
      <c r="D29" s="11">
        <v>6988</v>
      </c>
      <c r="E29" s="11">
        <v>17</v>
      </c>
      <c r="F29" s="11">
        <v>81</v>
      </c>
      <c r="G29" s="11">
        <v>2162</v>
      </c>
      <c r="H29" s="11">
        <v>232</v>
      </c>
      <c r="I29" s="12">
        <f t="shared" si="0"/>
        <v>45043</v>
      </c>
      <c r="J29" s="13">
        <f t="shared" si="1"/>
        <v>0.15514064338520969</v>
      </c>
      <c r="K29" s="19">
        <f t="shared" si="2"/>
        <v>-0.52398736388404377</v>
      </c>
      <c r="M29" s="17">
        <f t="shared" si="3"/>
        <v>0.47601263611595623</v>
      </c>
    </row>
    <row r="30" spans="1:13" x14ac:dyDescent="0.25">
      <c r="A30" s="10" t="s">
        <v>65</v>
      </c>
      <c r="B30" s="11">
        <v>17861</v>
      </c>
      <c r="C30" s="11">
        <v>11916</v>
      </c>
      <c r="D30" s="11">
        <v>10722</v>
      </c>
      <c r="E30" s="11">
        <v>1</v>
      </c>
      <c r="F30" s="11">
        <v>11</v>
      </c>
      <c r="G30" s="11">
        <v>97</v>
      </c>
      <c r="H30" s="11">
        <v>62</v>
      </c>
      <c r="I30" s="12">
        <f t="shared" si="0"/>
        <v>40670</v>
      </c>
      <c r="J30" s="13">
        <f t="shared" si="1"/>
        <v>0.26363412835013522</v>
      </c>
      <c r="K30" s="19">
        <f t="shared" si="2"/>
        <v>-0.19110058030064814</v>
      </c>
      <c r="M30" s="17">
        <f t="shared" si="3"/>
        <v>0.80889941969935186</v>
      </c>
    </row>
    <row r="31" spans="1:13" x14ac:dyDescent="0.25">
      <c r="A31" s="10" t="s">
        <v>66</v>
      </c>
      <c r="B31" s="11">
        <v>28603</v>
      </c>
      <c r="C31" s="11">
        <v>5044</v>
      </c>
      <c r="D31" s="11">
        <v>2459</v>
      </c>
      <c r="E31" s="11">
        <v>0</v>
      </c>
      <c r="F31" s="11">
        <v>98</v>
      </c>
      <c r="G31" s="11">
        <v>4352</v>
      </c>
      <c r="H31" s="11">
        <v>303</v>
      </c>
      <c r="I31" s="12">
        <f t="shared" si="0"/>
        <v>40859</v>
      </c>
      <c r="J31" s="13">
        <f t="shared" si="1"/>
        <v>6.0182579113536798E-2</v>
      </c>
      <c r="K31" s="19">
        <f t="shared" si="2"/>
        <v>-0.81534388728193929</v>
      </c>
      <c r="M31" s="17">
        <f t="shared" si="3"/>
        <v>0.18465611271806071</v>
      </c>
    </row>
    <row r="32" spans="1:13" x14ac:dyDescent="0.25">
      <c r="A32" s="15" t="s">
        <v>67</v>
      </c>
      <c r="B32" s="11">
        <v>20779</v>
      </c>
      <c r="C32" s="11">
        <v>3609</v>
      </c>
      <c r="D32" s="11">
        <v>4404</v>
      </c>
      <c r="E32" s="11">
        <v>9</v>
      </c>
      <c r="F32" s="11">
        <v>39</v>
      </c>
      <c r="G32" s="11">
        <v>2263</v>
      </c>
      <c r="H32" s="11">
        <v>64</v>
      </c>
      <c r="I32" s="12">
        <f t="shared" si="0"/>
        <v>31167</v>
      </c>
      <c r="J32" s="13">
        <f t="shared" si="1"/>
        <v>0.14130330156896717</v>
      </c>
      <c r="K32" s="19">
        <f t="shared" si="2"/>
        <v>-0.56644399814224045</v>
      </c>
      <c r="L32" s="18">
        <v>40.347922890644917</v>
      </c>
      <c r="M32" s="17">
        <f t="shared" si="3"/>
        <v>0.43355600185775955</v>
      </c>
    </row>
    <row r="33" spans="1:13" x14ac:dyDescent="0.25">
      <c r="A33" s="10" t="s">
        <v>68</v>
      </c>
      <c r="B33" s="11">
        <v>27119</v>
      </c>
      <c r="C33" s="11">
        <v>10585</v>
      </c>
      <c r="D33" s="11">
        <v>23121</v>
      </c>
      <c r="E33" s="11">
        <v>190</v>
      </c>
      <c r="F33" s="11">
        <v>114</v>
      </c>
      <c r="G33" s="11">
        <v>777</v>
      </c>
      <c r="H33" s="11">
        <v>422</v>
      </c>
      <c r="I33" s="12">
        <f t="shared" si="0"/>
        <v>62328</v>
      </c>
      <c r="J33" s="13">
        <f t="shared" si="1"/>
        <v>0.37095687331536387</v>
      </c>
      <c r="K33" s="19">
        <f t="shared" si="2"/>
        <v>0.13819406249164379</v>
      </c>
      <c r="M33" s="17">
        <f t="shared" si="3"/>
        <v>1.1381940624916438</v>
      </c>
    </row>
    <row r="34" spans="1:13" x14ac:dyDescent="0.25">
      <c r="A34" s="15" t="s">
        <v>69</v>
      </c>
      <c r="B34" s="11">
        <v>27417</v>
      </c>
      <c r="C34" s="11">
        <v>7554</v>
      </c>
      <c r="D34" s="11">
        <v>14972</v>
      </c>
      <c r="E34" s="11">
        <v>332</v>
      </c>
      <c r="F34" s="11">
        <v>204</v>
      </c>
      <c r="G34" s="11">
        <v>351</v>
      </c>
      <c r="H34" s="11">
        <v>126</v>
      </c>
      <c r="I34" s="12">
        <f t="shared" si="0"/>
        <v>50956</v>
      </c>
      <c r="J34" s="13">
        <f t="shared" si="1"/>
        <v>0.29382212104560795</v>
      </c>
      <c r="K34" s="19">
        <f t="shared" si="2"/>
        <v>-9.8475813067078977E-2</v>
      </c>
      <c r="L34" s="18">
        <v>85.591736514076956</v>
      </c>
      <c r="M34" s="17">
        <f t="shared" si="3"/>
        <v>0.90152418693292102</v>
      </c>
    </row>
    <row r="35" spans="1:13" x14ac:dyDescent="0.25">
      <c r="A35" s="15" t="s">
        <v>70</v>
      </c>
      <c r="B35" s="11">
        <v>11531</v>
      </c>
      <c r="C35" s="11">
        <v>6057</v>
      </c>
      <c r="D35" s="11">
        <v>7114</v>
      </c>
      <c r="E35" s="11">
        <v>14</v>
      </c>
      <c r="F35" s="11">
        <v>6</v>
      </c>
      <c r="G35" s="11">
        <v>6</v>
      </c>
      <c r="H35" s="11">
        <v>18</v>
      </c>
      <c r="I35" s="12">
        <f t="shared" si="0"/>
        <v>24746</v>
      </c>
      <c r="J35" s="13">
        <f t="shared" si="1"/>
        <v>0.28748080497858242</v>
      </c>
      <c r="K35" s="19">
        <f t="shared" si="2"/>
        <v>-0.11793265243324258</v>
      </c>
      <c r="L35" s="18">
        <v>51.624914736164747</v>
      </c>
      <c r="M35" s="17">
        <f t="shared" si="3"/>
        <v>0.88206734756675742</v>
      </c>
    </row>
    <row r="36" spans="1:13" x14ac:dyDescent="0.25">
      <c r="A36" s="10" t="s">
        <v>71</v>
      </c>
      <c r="B36" s="11">
        <v>30145</v>
      </c>
      <c r="C36" s="11">
        <v>9105</v>
      </c>
      <c r="D36" s="11">
        <v>15822</v>
      </c>
      <c r="E36" s="11">
        <v>953</v>
      </c>
      <c r="F36" s="11">
        <v>148</v>
      </c>
      <c r="G36" s="11">
        <v>46</v>
      </c>
      <c r="H36" s="11">
        <v>170</v>
      </c>
      <c r="I36" s="12">
        <f t="shared" si="0"/>
        <v>56389</v>
      </c>
      <c r="J36" s="13">
        <f t="shared" si="1"/>
        <v>0.2805866392381493</v>
      </c>
      <c r="K36" s="19">
        <f t="shared" si="2"/>
        <v>-0.13908578120927506</v>
      </c>
      <c r="M36" s="17">
        <f t="shared" si="3"/>
        <v>0.86091421879072494</v>
      </c>
    </row>
    <row r="37" spans="1:13" x14ac:dyDescent="0.25">
      <c r="A37" s="10" t="s">
        <v>213</v>
      </c>
      <c r="B37" s="11">
        <v>26832</v>
      </c>
      <c r="C37" s="11">
        <v>8538</v>
      </c>
      <c r="D37" s="11">
        <v>3219</v>
      </c>
      <c r="E37" s="11">
        <v>185</v>
      </c>
      <c r="F37" s="11">
        <v>45</v>
      </c>
      <c r="G37" s="11">
        <v>310</v>
      </c>
      <c r="H37" s="11">
        <v>217</v>
      </c>
      <c r="I37" s="12">
        <f t="shared" si="0"/>
        <v>39346</v>
      </c>
      <c r="J37" s="13">
        <f t="shared" si="1"/>
        <v>8.1812636608549788E-2</v>
      </c>
      <c r="K37" s="19">
        <f t="shared" si="2"/>
        <v>-0.74897713474775185</v>
      </c>
      <c r="M37" s="17">
        <f t="shared" si="3"/>
        <v>0.25102286525224815</v>
      </c>
    </row>
    <row r="38" spans="1:13" x14ac:dyDescent="0.25">
      <c r="A38" s="10" t="s">
        <v>72</v>
      </c>
      <c r="B38" s="11">
        <v>26832</v>
      </c>
      <c r="C38" s="11">
        <v>8538</v>
      </c>
      <c r="D38" s="11">
        <v>3219</v>
      </c>
      <c r="E38" s="11">
        <v>185</v>
      </c>
      <c r="F38" s="11">
        <v>45</v>
      </c>
      <c r="G38" s="11">
        <v>310</v>
      </c>
      <c r="H38" s="11">
        <v>217</v>
      </c>
      <c r="I38" s="12">
        <f t="shared" si="0"/>
        <v>39346</v>
      </c>
      <c r="J38" s="13">
        <f t="shared" si="1"/>
        <v>8.1812636608549788E-2</v>
      </c>
      <c r="K38" s="19">
        <f t="shared" si="2"/>
        <v>-0.74897713474775185</v>
      </c>
      <c r="M38" s="17">
        <f t="shared" si="3"/>
        <v>0.25102286525224815</v>
      </c>
    </row>
    <row r="39" spans="1:13" x14ac:dyDescent="0.25">
      <c r="A39" s="10" t="s">
        <v>214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2">
        <f t="shared" si="0"/>
        <v>0</v>
      </c>
      <c r="J39" s="13">
        <v>0</v>
      </c>
      <c r="K39" s="19">
        <f t="shared" si="2"/>
        <v>-1</v>
      </c>
      <c r="M39" s="17">
        <f t="shared" si="3"/>
        <v>0</v>
      </c>
    </row>
    <row r="40" spans="1:13" x14ac:dyDescent="0.25">
      <c r="A40" s="10" t="s">
        <v>215</v>
      </c>
      <c r="B40" s="11">
        <v>523606</v>
      </c>
      <c r="C40" s="11">
        <v>121411</v>
      </c>
      <c r="D40" s="11">
        <v>165086</v>
      </c>
      <c r="E40" s="11">
        <v>3646</v>
      </c>
      <c r="F40" s="11">
        <v>2060</v>
      </c>
      <c r="G40" s="11">
        <v>12858</v>
      </c>
      <c r="H40" s="11">
        <v>3975</v>
      </c>
      <c r="I40" s="12">
        <f t="shared" si="0"/>
        <v>832642</v>
      </c>
      <c r="J40" s="13">
        <f t="shared" si="1"/>
        <v>0.19826768286970872</v>
      </c>
      <c r="K40" s="19">
        <f t="shared" si="2"/>
        <v>-0.39166216975731605</v>
      </c>
      <c r="M40" s="17">
        <f t="shared" si="3"/>
        <v>0.60833783024268395</v>
      </c>
    </row>
    <row r="41" spans="1:13" x14ac:dyDescent="0.25">
      <c r="A41" s="10" t="s">
        <v>216</v>
      </c>
      <c r="B41" s="11">
        <v>143413</v>
      </c>
      <c r="C41" s="11">
        <v>44307</v>
      </c>
      <c r="D41" s="11">
        <v>54729</v>
      </c>
      <c r="E41" s="11">
        <v>2696</v>
      </c>
      <c r="F41" s="11">
        <v>483</v>
      </c>
      <c r="G41" s="11">
        <v>1586</v>
      </c>
      <c r="H41" s="11">
        <v>1198</v>
      </c>
      <c r="I41" s="12">
        <f t="shared" si="0"/>
        <v>248412</v>
      </c>
      <c r="J41" s="13">
        <f t="shared" si="1"/>
        <v>0.22031544369837205</v>
      </c>
      <c r="K41" s="19">
        <f t="shared" si="2"/>
        <v>-0.32401379262349594</v>
      </c>
      <c r="M41" s="17">
        <f t="shared" si="3"/>
        <v>0.67598620737650406</v>
      </c>
    </row>
    <row r="42" spans="1:13" x14ac:dyDescent="0.25">
      <c r="A42" s="15" t="s">
        <v>73</v>
      </c>
      <c r="B42" s="11">
        <v>28363</v>
      </c>
      <c r="C42" s="11">
        <v>11428</v>
      </c>
      <c r="D42" s="11">
        <v>10350</v>
      </c>
      <c r="E42" s="11">
        <v>0</v>
      </c>
      <c r="F42" s="11">
        <v>5</v>
      </c>
      <c r="G42" s="11">
        <v>20</v>
      </c>
      <c r="H42" s="11">
        <v>142</v>
      </c>
      <c r="I42" s="12">
        <f t="shared" si="0"/>
        <v>50308</v>
      </c>
      <c r="J42" s="13">
        <f t="shared" si="1"/>
        <v>0.20573268665023456</v>
      </c>
      <c r="K42" s="19">
        <f t="shared" si="2"/>
        <v>-0.36875755849203584</v>
      </c>
      <c r="L42" s="16"/>
      <c r="M42" s="17">
        <f t="shared" si="3"/>
        <v>0.63124244150796416</v>
      </c>
    </row>
    <row r="43" spans="1:13" x14ac:dyDescent="0.25">
      <c r="A43" s="10" t="s">
        <v>74</v>
      </c>
      <c r="B43" s="11">
        <v>34256</v>
      </c>
      <c r="C43" s="11">
        <v>10366</v>
      </c>
      <c r="D43" s="11">
        <v>15315</v>
      </c>
      <c r="E43" s="11">
        <v>0</v>
      </c>
      <c r="F43" s="11">
        <v>183</v>
      </c>
      <c r="G43" s="11">
        <v>115</v>
      </c>
      <c r="H43" s="11">
        <v>269</v>
      </c>
      <c r="I43" s="12">
        <f t="shared" si="0"/>
        <v>60504</v>
      </c>
      <c r="J43" s="13">
        <f t="shared" si="1"/>
        <v>0.2531237604125347</v>
      </c>
      <c r="K43" s="19">
        <f t="shared" si="2"/>
        <v>-0.22334917640904106</v>
      </c>
      <c r="M43" s="17">
        <f t="shared" si="3"/>
        <v>0.77665082359095894</v>
      </c>
    </row>
    <row r="44" spans="1:13" x14ac:dyDescent="0.25">
      <c r="A44" s="10" t="s">
        <v>75</v>
      </c>
      <c r="B44" s="11">
        <v>21418</v>
      </c>
      <c r="C44" s="11">
        <v>3949</v>
      </c>
      <c r="D44" s="11">
        <v>820</v>
      </c>
      <c r="E44" s="11">
        <v>2</v>
      </c>
      <c r="F44" s="11">
        <v>125</v>
      </c>
      <c r="G44" s="11">
        <v>1151</v>
      </c>
      <c r="H44" s="11">
        <v>285</v>
      </c>
      <c r="I44" s="12">
        <f t="shared" si="0"/>
        <v>27750</v>
      </c>
      <c r="J44" s="13">
        <f t="shared" si="1"/>
        <v>2.954954954954955E-2</v>
      </c>
      <c r="K44" s="19">
        <f t="shared" si="2"/>
        <v>-0.90933414564876602</v>
      </c>
      <c r="M44" s="17">
        <f t="shared" si="3"/>
        <v>9.0665854351233977E-2</v>
      </c>
    </row>
    <row r="45" spans="1:13" x14ac:dyDescent="0.25">
      <c r="A45" s="15" t="s">
        <v>76</v>
      </c>
      <c r="B45" s="11">
        <v>45500</v>
      </c>
      <c r="C45" s="11">
        <v>13948</v>
      </c>
      <c r="D45" s="11">
        <v>24203</v>
      </c>
      <c r="E45" s="11">
        <v>2694</v>
      </c>
      <c r="F45" s="11">
        <v>141</v>
      </c>
      <c r="G45" s="11">
        <v>286</v>
      </c>
      <c r="H45" s="11">
        <v>416</v>
      </c>
      <c r="I45" s="12">
        <f t="shared" si="0"/>
        <v>87188</v>
      </c>
      <c r="J45" s="13">
        <f t="shared" si="1"/>
        <v>0.2775955406707345</v>
      </c>
      <c r="K45" s="19">
        <f t="shared" si="2"/>
        <v>-0.14826326483245766</v>
      </c>
      <c r="L45" s="18">
        <v>94.4</v>
      </c>
      <c r="M45" s="17">
        <f t="shared" si="3"/>
        <v>0.85173673516754234</v>
      </c>
    </row>
    <row r="46" spans="1:13" ht="15.75" customHeight="1" x14ac:dyDescent="0.25">
      <c r="A46" s="10" t="s">
        <v>77</v>
      </c>
      <c r="B46" s="11">
        <v>13876</v>
      </c>
      <c r="C46" s="11">
        <v>4616</v>
      </c>
      <c r="D46" s="11">
        <v>4041</v>
      </c>
      <c r="E46" s="11">
        <v>0</v>
      </c>
      <c r="F46" s="11">
        <v>29</v>
      </c>
      <c r="G46" s="11">
        <v>14</v>
      </c>
      <c r="H46" s="11">
        <v>86</v>
      </c>
      <c r="I46" s="12">
        <f t="shared" si="0"/>
        <v>22662</v>
      </c>
      <c r="J46" s="13">
        <f t="shared" si="1"/>
        <v>0.17831612390786339</v>
      </c>
      <c r="K46" s="19">
        <f t="shared" si="2"/>
        <v>-0.45287884366571074</v>
      </c>
      <c r="M46" s="17">
        <f t="shared" si="3"/>
        <v>0.54712115633428926</v>
      </c>
    </row>
    <row r="47" spans="1:13" x14ac:dyDescent="0.25">
      <c r="A47" s="10" t="s">
        <v>217</v>
      </c>
      <c r="B47" s="11">
        <v>380193</v>
      </c>
      <c r="C47" s="11">
        <v>77104</v>
      </c>
      <c r="D47" s="11">
        <v>110357</v>
      </c>
      <c r="E47" s="11">
        <v>950</v>
      </c>
      <c r="F47" s="11">
        <v>1577</v>
      </c>
      <c r="G47" s="11">
        <v>11272</v>
      </c>
      <c r="H47" s="11">
        <v>2777</v>
      </c>
      <c r="I47" s="12">
        <f t="shared" si="0"/>
        <v>584230</v>
      </c>
      <c r="J47" s="13">
        <f t="shared" si="1"/>
        <v>0.18889307293360491</v>
      </c>
      <c r="K47" s="19">
        <f t="shared" si="2"/>
        <v>-0.42042595912206371</v>
      </c>
      <c r="M47" s="17">
        <f t="shared" si="3"/>
        <v>0.57957404087793629</v>
      </c>
    </row>
    <row r="48" spans="1:13" x14ac:dyDescent="0.25">
      <c r="A48" s="10" t="s">
        <v>78</v>
      </c>
      <c r="B48" s="11">
        <v>26112</v>
      </c>
      <c r="C48" s="11">
        <v>5673</v>
      </c>
      <c r="D48" s="11">
        <v>4125</v>
      </c>
      <c r="E48" s="11">
        <v>49</v>
      </c>
      <c r="F48" s="11">
        <v>44</v>
      </c>
      <c r="G48" s="11">
        <v>191</v>
      </c>
      <c r="H48" s="11">
        <v>226</v>
      </c>
      <c r="I48" s="12">
        <f t="shared" si="0"/>
        <v>36420</v>
      </c>
      <c r="J48" s="13">
        <f t="shared" si="1"/>
        <v>0.11326194398682043</v>
      </c>
      <c r="K48" s="19">
        <f t="shared" si="2"/>
        <v>-0.65248231957555447</v>
      </c>
      <c r="M48" s="17">
        <f t="shared" si="3"/>
        <v>0.34751768042444553</v>
      </c>
    </row>
    <row r="49" spans="1:13" x14ac:dyDescent="0.25">
      <c r="A49" s="10" t="s">
        <v>79</v>
      </c>
      <c r="B49" s="11">
        <v>40921</v>
      </c>
      <c r="C49" s="11">
        <v>6974</v>
      </c>
      <c r="D49" s="11">
        <v>10553</v>
      </c>
      <c r="E49" s="11">
        <v>281</v>
      </c>
      <c r="F49" s="11">
        <v>157</v>
      </c>
      <c r="G49" s="11">
        <v>1286</v>
      </c>
      <c r="H49" s="11">
        <v>284</v>
      </c>
      <c r="I49" s="12">
        <f t="shared" si="0"/>
        <v>60456</v>
      </c>
      <c r="J49" s="13">
        <f t="shared" si="1"/>
        <v>0.17455670239513035</v>
      </c>
      <c r="K49" s="19">
        <f t="shared" si="2"/>
        <v>-0.46441374583898409</v>
      </c>
      <c r="M49" s="17">
        <f t="shared" si="3"/>
        <v>0.53558625416101591</v>
      </c>
    </row>
    <row r="50" spans="1:13" x14ac:dyDescent="0.25">
      <c r="A50" s="10" t="s">
        <v>80</v>
      </c>
      <c r="B50" s="11">
        <v>45107</v>
      </c>
      <c r="C50" s="11">
        <v>8824</v>
      </c>
      <c r="D50" s="11">
        <v>15948</v>
      </c>
      <c r="E50" s="11">
        <v>156</v>
      </c>
      <c r="F50" s="11">
        <v>171</v>
      </c>
      <c r="G50" s="11">
        <v>809</v>
      </c>
      <c r="H50" s="11">
        <v>363</v>
      </c>
      <c r="I50" s="12">
        <f t="shared" si="0"/>
        <v>71378</v>
      </c>
      <c r="J50" s="13">
        <f t="shared" si="1"/>
        <v>0.22343018857351005</v>
      </c>
      <c r="K50" s="19">
        <f t="shared" si="2"/>
        <v>-0.31445692933808533</v>
      </c>
      <c r="M50" s="17">
        <f t="shared" si="3"/>
        <v>0.68554307066191467</v>
      </c>
    </row>
    <row r="51" spans="1:13" x14ac:dyDescent="0.25">
      <c r="A51" s="10" t="s">
        <v>81</v>
      </c>
      <c r="B51" s="11">
        <v>33888</v>
      </c>
      <c r="C51" s="11">
        <v>6220</v>
      </c>
      <c r="D51" s="11">
        <v>6374</v>
      </c>
      <c r="E51" s="11">
        <v>35</v>
      </c>
      <c r="F51" s="11">
        <v>316</v>
      </c>
      <c r="G51" s="11">
        <v>1329</v>
      </c>
      <c r="H51" s="11">
        <v>123</v>
      </c>
      <c r="I51" s="12">
        <f t="shared" si="0"/>
        <v>48285</v>
      </c>
      <c r="J51" s="13">
        <f t="shared" si="1"/>
        <v>0.13200786993890443</v>
      </c>
      <c r="K51" s="19">
        <f t="shared" si="2"/>
        <v>-0.59496484746652278</v>
      </c>
      <c r="M51" s="17">
        <f t="shared" si="3"/>
        <v>0.40503515253347722</v>
      </c>
    </row>
    <row r="52" spans="1:13" x14ac:dyDescent="0.25">
      <c r="A52" s="10" t="s">
        <v>82</v>
      </c>
      <c r="B52" s="11">
        <v>29397</v>
      </c>
      <c r="C52" s="11">
        <v>5125</v>
      </c>
      <c r="D52" s="11">
        <v>5749</v>
      </c>
      <c r="E52" s="11">
        <v>80</v>
      </c>
      <c r="F52" s="11">
        <v>73</v>
      </c>
      <c r="G52" s="11">
        <v>270</v>
      </c>
      <c r="H52" s="11">
        <v>252</v>
      </c>
      <c r="I52" s="12">
        <f t="shared" si="0"/>
        <v>40946</v>
      </c>
      <c r="J52" s="13">
        <f t="shared" si="1"/>
        <v>0.14040443510965661</v>
      </c>
      <c r="K52" s="19">
        <f t="shared" si="2"/>
        <v>-0.56920195881248359</v>
      </c>
      <c r="M52" s="17">
        <f t="shared" si="3"/>
        <v>0.43079804118751641</v>
      </c>
    </row>
    <row r="53" spans="1:13" x14ac:dyDescent="0.25">
      <c r="A53" s="10" t="s">
        <v>83</v>
      </c>
      <c r="B53" s="11">
        <v>51256</v>
      </c>
      <c r="C53" s="11">
        <v>12890</v>
      </c>
      <c r="D53" s="11">
        <v>17337</v>
      </c>
      <c r="E53" s="11">
        <v>98</v>
      </c>
      <c r="F53" s="11">
        <v>354</v>
      </c>
      <c r="G53" s="11">
        <v>579</v>
      </c>
      <c r="H53" s="11">
        <v>345</v>
      </c>
      <c r="I53" s="12">
        <f t="shared" si="0"/>
        <v>82859</v>
      </c>
      <c r="J53" s="13">
        <f t="shared" si="1"/>
        <v>0.20923496542318878</v>
      </c>
      <c r="K53" s="19">
        <f t="shared" si="2"/>
        <v>-0.35801163843685435</v>
      </c>
      <c r="M53" s="17">
        <f t="shared" si="3"/>
        <v>0.64198836156314565</v>
      </c>
    </row>
    <row r="54" spans="1:13" x14ac:dyDescent="0.25">
      <c r="A54" s="10" t="s">
        <v>84</v>
      </c>
      <c r="B54" s="11">
        <v>22424</v>
      </c>
      <c r="C54" s="11">
        <v>3715</v>
      </c>
      <c r="D54" s="11">
        <v>2976</v>
      </c>
      <c r="E54" s="11">
        <v>6</v>
      </c>
      <c r="F54" s="11">
        <v>77</v>
      </c>
      <c r="G54" s="11">
        <v>3453</v>
      </c>
      <c r="H54" s="11">
        <v>179</v>
      </c>
      <c r="I54" s="12">
        <f t="shared" si="0"/>
        <v>32830</v>
      </c>
      <c r="J54" s="13">
        <f t="shared" si="1"/>
        <v>9.0648796832165701E-2</v>
      </c>
      <c r="K54" s="19">
        <f t="shared" si="2"/>
        <v>-0.72186545189400297</v>
      </c>
      <c r="M54" s="17">
        <f t="shared" si="3"/>
        <v>0.27813454810599703</v>
      </c>
    </row>
    <row r="55" spans="1:13" x14ac:dyDescent="0.25">
      <c r="A55" s="10" t="s">
        <v>85</v>
      </c>
      <c r="B55" s="11">
        <v>20395</v>
      </c>
      <c r="C55" s="11">
        <v>4121</v>
      </c>
      <c r="D55" s="11">
        <v>9758</v>
      </c>
      <c r="E55" s="11">
        <v>7</v>
      </c>
      <c r="F55" s="11">
        <v>32</v>
      </c>
      <c r="G55" s="11">
        <v>29</v>
      </c>
      <c r="H55" s="11">
        <v>165</v>
      </c>
      <c r="I55" s="12">
        <f t="shared" si="0"/>
        <v>34507</v>
      </c>
      <c r="J55" s="13">
        <f t="shared" si="1"/>
        <v>0.28278320340800417</v>
      </c>
      <c r="K55" s="19">
        <f t="shared" si="2"/>
        <v>-0.13234613982275401</v>
      </c>
      <c r="M55" s="17">
        <f t="shared" si="3"/>
        <v>0.86765386017724599</v>
      </c>
    </row>
    <row r="56" spans="1:13" x14ac:dyDescent="0.25">
      <c r="A56" s="10" t="s">
        <v>86</v>
      </c>
      <c r="B56" s="11">
        <v>41056</v>
      </c>
      <c r="C56" s="11">
        <v>11384</v>
      </c>
      <c r="D56" s="11">
        <v>24779</v>
      </c>
      <c r="E56" s="11">
        <v>69</v>
      </c>
      <c r="F56" s="11">
        <v>112</v>
      </c>
      <c r="G56" s="11">
        <v>1178</v>
      </c>
      <c r="H56" s="11">
        <v>171</v>
      </c>
      <c r="I56" s="12">
        <f t="shared" si="0"/>
        <v>78749</v>
      </c>
      <c r="J56" s="13">
        <f t="shared" si="1"/>
        <v>0.31465796391065282</v>
      </c>
      <c r="K56" s="19">
        <f t="shared" si="2"/>
        <v>-3.4545921637781252E-2</v>
      </c>
      <c r="M56" s="17">
        <f t="shared" si="3"/>
        <v>0.96545407836221875</v>
      </c>
    </row>
    <row r="57" spans="1:13" x14ac:dyDescent="0.25">
      <c r="A57" s="10" t="s">
        <v>87</v>
      </c>
      <c r="B57" s="11">
        <v>21323</v>
      </c>
      <c r="C57" s="11">
        <v>4319</v>
      </c>
      <c r="D57" s="11">
        <v>3689</v>
      </c>
      <c r="E57" s="11">
        <v>76</v>
      </c>
      <c r="F57" s="11">
        <v>120</v>
      </c>
      <c r="G57" s="11">
        <v>23</v>
      </c>
      <c r="H57" s="11">
        <v>207</v>
      </c>
      <c r="I57" s="12">
        <f t="shared" si="0"/>
        <v>29757</v>
      </c>
      <c r="J57" s="13">
        <f t="shared" si="1"/>
        <v>0.12397083039284874</v>
      </c>
      <c r="K57" s="19">
        <f t="shared" si="2"/>
        <v>-0.61962461616032005</v>
      </c>
      <c r="M57" s="17">
        <f t="shared" si="3"/>
        <v>0.38037538383967995</v>
      </c>
    </row>
    <row r="58" spans="1:13" x14ac:dyDescent="0.25">
      <c r="A58" s="10" t="s">
        <v>88</v>
      </c>
      <c r="B58" s="11">
        <v>16970</v>
      </c>
      <c r="C58" s="11">
        <v>3109</v>
      </c>
      <c r="D58" s="11">
        <v>1361</v>
      </c>
      <c r="E58" s="11">
        <v>2</v>
      </c>
      <c r="F58" s="11">
        <v>27</v>
      </c>
      <c r="G58" s="11">
        <v>1077</v>
      </c>
      <c r="H58" s="11">
        <v>140</v>
      </c>
      <c r="I58" s="12">
        <f t="shared" si="0"/>
        <v>22686</v>
      </c>
      <c r="J58" s="13">
        <f t="shared" si="1"/>
        <v>5.9992947192100854E-2</v>
      </c>
      <c r="K58" s="19">
        <f t="shared" si="2"/>
        <v>-0.81592572830595989</v>
      </c>
      <c r="M58" s="17">
        <f t="shared" si="3"/>
        <v>0.18407427169404011</v>
      </c>
    </row>
    <row r="59" spans="1:13" x14ac:dyDescent="0.25">
      <c r="A59" s="10" t="s">
        <v>89</v>
      </c>
      <c r="B59" s="11">
        <v>31344</v>
      </c>
      <c r="C59" s="11">
        <v>4750</v>
      </c>
      <c r="D59" s="11">
        <v>7708</v>
      </c>
      <c r="E59" s="11">
        <v>91</v>
      </c>
      <c r="F59" s="11">
        <v>94</v>
      </c>
      <c r="G59" s="11">
        <v>1048</v>
      </c>
      <c r="H59" s="11">
        <v>322</v>
      </c>
      <c r="I59" s="12">
        <f t="shared" si="0"/>
        <v>45357</v>
      </c>
      <c r="J59" s="13">
        <f t="shared" si="1"/>
        <v>0.16994069272659126</v>
      </c>
      <c r="K59" s="19">
        <f t="shared" si="2"/>
        <v>-0.47857688763543937</v>
      </c>
      <c r="M59" s="17">
        <f t="shared" si="3"/>
        <v>0.52142311236456063</v>
      </c>
    </row>
    <row r="60" spans="1:13" x14ac:dyDescent="0.25">
      <c r="A60" s="10" t="s">
        <v>218</v>
      </c>
      <c r="B60" s="11">
        <v>775173</v>
      </c>
      <c r="C60" s="11">
        <v>166581</v>
      </c>
      <c r="D60" s="11">
        <v>257289</v>
      </c>
      <c r="E60" s="11">
        <v>6877</v>
      </c>
      <c r="F60" s="11">
        <v>3556</v>
      </c>
      <c r="G60" s="11">
        <v>3498</v>
      </c>
      <c r="H60" s="11">
        <v>4535</v>
      </c>
      <c r="I60" s="12">
        <f t="shared" si="0"/>
        <v>1217509</v>
      </c>
      <c r="J60" s="13">
        <f t="shared" si="1"/>
        <v>0.2113241052016864</v>
      </c>
      <c r="K60" s="19">
        <f t="shared" si="2"/>
        <v>-0.35160160357121217</v>
      </c>
      <c r="M60" s="17">
        <f t="shared" si="3"/>
        <v>0.64839839642878783</v>
      </c>
    </row>
    <row r="61" spans="1:13" x14ac:dyDescent="0.25">
      <c r="A61" s="10" t="s">
        <v>219</v>
      </c>
      <c r="B61" s="11">
        <v>296862</v>
      </c>
      <c r="C61" s="11">
        <v>83180</v>
      </c>
      <c r="D61" s="11">
        <v>105014</v>
      </c>
      <c r="E61" s="11">
        <v>4812</v>
      </c>
      <c r="F61" s="11">
        <v>2356</v>
      </c>
      <c r="G61" s="11">
        <v>1436</v>
      </c>
      <c r="H61" s="11">
        <v>2130</v>
      </c>
      <c r="I61" s="12">
        <f t="shared" si="0"/>
        <v>495790</v>
      </c>
      <c r="J61" s="13">
        <f t="shared" si="1"/>
        <v>0.21181145242945601</v>
      </c>
      <c r="K61" s="19">
        <f t="shared" si="2"/>
        <v>-0.35010629303534946</v>
      </c>
      <c r="M61" s="17">
        <f t="shared" si="3"/>
        <v>0.64989370696465054</v>
      </c>
    </row>
    <row r="62" spans="1:13" x14ac:dyDescent="0.25">
      <c r="A62" s="10" t="s">
        <v>90</v>
      </c>
      <c r="B62" s="11">
        <v>31877</v>
      </c>
      <c r="C62" s="11">
        <v>5316</v>
      </c>
      <c r="D62" s="11">
        <v>3512</v>
      </c>
      <c r="E62" s="11">
        <v>10</v>
      </c>
      <c r="F62" s="11">
        <v>25</v>
      </c>
      <c r="G62" s="11">
        <v>73</v>
      </c>
      <c r="H62" s="11">
        <v>87</v>
      </c>
      <c r="I62" s="12">
        <f t="shared" si="0"/>
        <v>40900</v>
      </c>
      <c r="J62" s="13">
        <f t="shared" si="1"/>
        <v>8.5867970660146703E-2</v>
      </c>
      <c r="K62" s="19">
        <f t="shared" si="2"/>
        <v>-0.73653429443131491</v>
      </c>
      <c r="M62" s="17">
        <f t="shared" si="3"/>
        <v>0.26346570556868509</v>
      </c>
    </row>
    <row r="63" spans="1:13" x14ac:dyDescent="0.25">
      <c r="A63" s="10" t="s">
        <v>91</v>
      </c>
      <c r="B63" s="11">
        <v>40370</v>
      </c>
      <c r="C63" s="11">
        <v>6442</v>
      </c>
      <c r="D63" s="11">
        <v>3806</v>
      </c>
      <c r="E63" s="11">
        <v>42</v>
      </c>
      <c r="F63" s="11">
        <v>143</v>
      </c>
      <c r="G63" s="11">
        <v>138</v>
      </c>
      <c r="H63" s="11">
        <v>348</v>
      </c>
      <c r="I63" s="12">
        <f t="shared" si="0"/>
        <v>51289</v>
      </c>
      <c r="J63" s="13">
        <f t="shared" si="1"/>
        <v>7.4206944958958063E-2</v>
      </c>
      <c r="K63" s="19">
        <f t="shared" si="2"/>
        <v>-0.77231341370476203</v>
      </c>
      <c r="M63" s="17">
        <f t="shared" si="3"/>
        <v>0.22768658629523797</v>
      </c>
    </row>
    <row r="64" spans="1:13" x14ac:dyDescent="0.25">
      <c r="A64" s="10" t="s">
        <v>92</v>
      </c>
      <c r="B64" s="11">
        <v>16916</v>
      </c>
      <c r="C64" s="11">
        <v>4141</v>
      </c>
      <c r="D64" s="11">
        <v>2316</v>
      </c>
      <c r="E64" s="11">
        <v>47</v>
      </c>
      <c r="F64" s="11">
        <v>14</v>
      </c>
      <c r="G64" s="11">
        <v>214</v>
      </c>
      <c r="H64" s="11">
        <v>66</v>
      </c>
      <c r="I64" s="12">
        <f t="shared" si="0"/>
        <v>23714</v>
      </c>
      <c r="J64" s="13">
        <f t="shared" si="1"/>
        <v>9.7663827275027412E-2</v>
      </c>
      <c r="K64" s="19">
        <f t="shared" si="2"/>
        <v>-0.70034147815844849</v>
      </c>
      <c r="M64" s="17">
        <f t="shared" si="3"/>
        <v>0.29965852184155151</v>
      </c>
    </row>
    <row r="65" spans="1:13" x14ac:dyDescent="0.25">
      <c r="A65" s="10" t="s">
        <v>93</v>
      </c>
      <c r="B65" s="11">
        <v>9144</v>
      </c>
      <c r="C65" s="11">
        <v>1916</v>
      </c>
      <c r="D65" s="11">
        <v>956</v>
      </c>
      <c r="E65" s="11">
        <v>0</v>
      </c>
      <c r="F65" s="11">
        <v>45</v>
      </c>
      <c r="G65" s="11">
        <v>148</v>
      </c>
      <c r="H65" s="11">
        <v>236</v>
      </c>
      <c r="I65" s="12">
        <f t="shared" si="0"/>
        <v>12445</v>
      </c>
      <c r="J65" s="13">
        <f t="shared" si="1"/>
        <v>7.681799919646444E-2</v>
      </c>
      <c r="K65" s="19">
        <f t="shared" si="2"/>
        <v>-0.76430200687082817</v>
      </c>
      <c r="M65" s="17">
        <f t="shared" si="3"/>
        <v>0.23569799312917183</v>
      </c>
    </row>
    <row r="66" spans="1:13" x14ac:dyDescent="0.25">
      <c r="A66" s="10" t="s">
        <v>94</v>
      </c>
      <c r="B66" s="11">
        <v>27863</v>
      </c>
      <c r="C66" s="11">
        <v>6047</v>
      </c>
      <c r="D66" s="11">
        <v>4393</v>
      </c>
      <c r="E66" s="11">
        <v>1</v>
      </c>
      <c r="F66" s="11">
        <v>26</v>
      </c>
      <c r="G66" s="11">
        <v>249</v>
      </c>
      <c r="H66" s="11">
        <v>97</v>
      </c>
      <c r="I66" s="12">
        <f t="shared" si="0"/>
        <v>38676</v>
      </c>
      <c r="J66" s="13">
        <f t="shared" si="1"/>
        <v>0.11358465198055642</v>
      </c>
      <c r="K66" s="19">
        <f t="shared" si="2"/>
        <v>-0.65149216587087666</v>
      </c>
      <c r="M66" s="17">
        <f t="shared" si="3"/>
        <v>0.34850783412912334</v>
      </c>
    </row>
    <row r="67" spans="1:13" x14ac:dyDescent="0.25">
      <c r="A67" s="10" t="s">
        <v>95</v>
      </c>
      <c r="B67" s="11">
        <v>23460</v>
      </c>
      <c r="C67" s="11">
        <v>3673</v>
      </c>
      <c r="D67" s="11">
        <v>1750</v>
      </c>
      <c r="E67" s="11">
        <v>2</v>
      </c>
      <c r="F67" s="11">
        <v>96</v>
      </c>
      <c r="G67" s="11">
        <v>365</v>
      </c>
      <c r="H67" s="11">
        <v>203</v>
      </c>
      <c r="I67" s="12">
        <f t="shared" si="0"/>
        <v>29549</v>
      </c>
      <c r="J67" s="13">
        <f t="shared" si="1"/>
        <v>5.9223662391282274E-2</v>
      </c>
      <c r="K67" s="19">
        <f t="shared" si="2"/>
        <v>-0.81828609808380304</v>
      </c>
      <c r="M67" s="17">
        <f t="shared" si="3"/>
        <v>0.18171390191619696</v>
      </c>
    </row>
    <row r="68" spans="1:13" x14ac:dyDescent="0.25">
      <c r="A68" s="10" t="s">
        <v>96</v>
      </c>
      <c r="B68" s="11">
        <v>20297</v>
      </c>
      <c r="C68" s="11">
        <v>5130</v>
      </c>
      <c r="D68" s="11">
        <v>6108</v>
      </c>
      <c r="E68" s="11">
        <v>150</v>
      </c>
      <c r="F68" s="11">
        <v>63</v>
      </c>
      <c r="G68" s="11">
        <v>115</v>
      </c>
      <c r="H68" s="11">
        <v>78</v>
      </c>
      <c r="I68" s="12">
        <f t="shared" si="0"/>
        <v>31941</v>
      </c>
      <c r="J68" s="13">
        <f t="shared" si="1"/>
        <v>0.19122757584296046</v>
      </c>
      <c r="K68" s="19">
        <f t="shared" si="2"/>
        <v>-0.41326308510236864</v>
      </c>
      <c r="M68" s="17">
        <f t="shared" si="3"/>
        <v>0.58673691489763136</v>
      </c>
    </row>
    <row r="69" spans="1:13" x14ac:dyDescent="0.25">
      <c r="A69" s="15" t="s">
        <v>97</v>
      </c>
      <c r="B69" s="11">
        <v>83968</v>
      </c>
      <c r="C69" s="11">
        <v>42092</v>
      </c>
      <c r="D69" s="11">
        <v>71325</v>
      </c>
      <c r="E69" s="11">
        <v>3678</v>
      </c>
      <c r="F69" s="11">
        <v>1768</v>
      </c>
      <c r="G69" s="11">
        <v>9</v>
      </c>
      <c r="H69" s="11">
        <v>529</v>
      </c>
      <c r="I69" s="12">
        <f t="shared" ref="I69:I119" si="4">SUM(B69:H69)</f>
        <v>203369</v>
      </c>
      <c r="J69" s="13">
        <f t="shared" ref="J69:J119" si="5">D69/I69</f>
        <v>0.35071716928342078</v>
      </c>
      <c r="K69" s="19">
        <f t="shared" ref="K69:K118" si="6">(J69/$J$4)-1</f>
        <v>7.609328309413832E-2</v>
      </c>
      <c r="L69" s="18">
        <v>34.359061958564148</v>
      </c>
      <c r="M69" s="17">
        <f t="shared" ref="M69:M119" si="7">K69+1</f>
        <v>1.0760932830941383</v>
      </c>
    </row>
    <row r="70" spans="1:13" x14ac:dyDescent="0.25">
      <c r="A70" s="10" t="s">
        <v>98</v>
      </c>
      <c r="B70" s="11">
        <v>38174</v>
      </c>
      <c r="C70" s="11">
        <v>7728</v>
      </c>
      <c r="D70" s="11">
        <v>10519</v>
      </c>
      <c r="E70" s="11">
        <v>837</v>
      </c>
      <c r="F70" s="11">
        <v>173</v>
      </c>
      <c r="G70" s="11">
        <v>108</v>
      </c>
      <c r="H70" s="11">
        <v>420</v>
      </c>
      <c r="I70" s="12">
        <f t="shared" si="4"/>
        <v>57959</v>
      </c>
      <c r="J70" s="13">
        <f t="shared" si="5"/>
        <v>0.1814903638779137</v>
      </c>
      <c r="K70" s="19">
        <f t="shared" si="6"/>
        <v>-0.44313943365142727</v>
      </c>
      <c r="M70" s="17">
        <f t="shared" si="7"/>
        <v>0.55686056634857273</v>
      </c>
    </row>
    <row r="71" spans="1:13" x14ac:dyDescent="0.25">
      <c r="A71" s="10" t="s">
        <v>99</v>
      </c>
      <c r="B71" s="11">
        <v>4793</v>
      </c>
      <c r="C71" s="11">
        <v>695</v>
      </c>
      <c r="D71" s="11">
        <v>329</v>
      </c>
      <c r="E71" s="11">
        <v>45</v>
      </c>
      <c r="F71" s="11">
        <v>3</v>
      </c>
      <c r="G71" s="11">
        <v>17</v>
      </c>
      <c r="H71" s="11">
        <v>66</v>
      </c>
      <c r="I71" s="12">
        <f t="shared" si="4"/>
        <v>5948</v>
      </c>
      <c r="J71" s="13">
        <f t="shared" si="5"/>
        <v>5.5312710154673837E-2</v>
      </c>
      <c r="K71" s="19">
        <f t="shared" si="6"/>
        <v>-0.83028593670281092</v>
      </c>
      <c r="M71" s="17">
        <f t="shared" si="7"/>
        <v>0.16971406329718908</v>
      </c>
    </row>
    <row r="72" spans="1:13" x14ac:dyDescent="0.25">
      <c r="A72" s="10" t="s">
        <v>220</v>
      </c>
      <c r="B72" s="11">
        <v>478311</v>
      </c>
      <c r="C72" s="11">
        <v>83401</v>
      </c>
      <c r="D72" s="11">
        <v>152275</v>
      </c>
      <c r="E72" s="11">
        <v>2065</v>
      </c>
      <c r="F72" s="11">
        <v>1200</v>
      </c>
      <c r="G72" s="11">
        <v>2062</v>
      </c>
      <c r="H72" s="11">
        <v>2405</v>
      </c>
      <c r="I72" s="12">
        <f t="shared" si="4"/>
        <v>721719</v>
      </c>
      <c r="J72" s="13">
        <f t="shared" si="5"/>
        <v>0.21098931855749953</v>
      </c>
      <c r="K72" s="19">
        <f t="shared" si="6"/>
        <v>-0.35262881777864652</v>
      </c>
      <c r="M72" s="17">
        <f t="shared" si="7"/>
        <v>0.64737118222135348</v>
      </c>
    </row>
    <row r="73" spans="1:13" x14ac:dyDescent="0.25">
      <c r="A73" s="10" t="s">
        <v>100</v>
      </c>
      <c r="B73" s="11">
        <v>19789</v>
      </c>
      <c r="C73" s="11">
        <v>3425</v>
      </c>
      <c r="D73" s="11">
        <v>3186</v>
      </c>
      <c r="E73" s="11">
        <v>53</v>
      </c>
      <c r="F73" s="11">
        <v>22</v>
      </c>
      <c r="G73" s="11">
        <v>2</v>
      </c>
      <c r="H73" s="11">
        <v>71</v>
      </c>
      <c r="I73" s="12">
        <f t="shared" si="4"/>
        <v>26548</v>
      </c>
      <c r="J73" s="13">
        <f t="shared" si="5"/>
        <v>0.12000904022901913</v>
      </c>
      <c r="K73" s="19">
        <f t="shared" si="6"/>
        <v>-0.63178043902190417</v>
      </c>
      <c r="M73" s="17">
        <f t="shared" si="7"/>
        <v>0.36821956097809583</v>
      </c>
    </row>
    <row r="74" spans="1:13" x14ac:dyDescent="0.25">
      <c r="A74" s="10" t="s">
        <v>101</v>
      </c>
      <c r="B74" s="11">
        <v>69723</v>
      </c>
      <c r="C74" s="11">
        <v>13232</v>
      </c>
      <c r="D74" s="11">
        <v>31084</v>
      </c>
      <c r="E74" s="11">
        <v>552</v>
      </c>
      <c r="F74" s="11">
        <v>90</v>
      </c>
      <c r="G74" s="11">
        <v>181</v>
      </c>
      <c r="H74" s="11">
        <v>211</v>
      </c>
      <c r="I74" s="12">
        <f t="shared" si="4"/>
        <v>115073</v>
      </c>
      <c r="J74" s="13">
        <f t="shared" si="5"/>
        <v>0.27012418204096528</v>
      </c>
      <c r="K74" s="19">
        <f t="shared" si="6"/>
        <v>-0.17118737446047794</v>
      </c>
      <c r="M74" s="17">
        <f t="shared" si="7"/>
        <v>0.82881262553952206</v>
      </c>
    </row>
    <row r="75" spans="1:13" x14ac:dyDescent="0.25">
      <c r="A75" s="10" t="s">
        <v>102</v>
      </c>
      <c r="B75" s="11">
        <v>2182</v>
      </c>
      <c r="C75" s="11">
        <v>948</v>
      </c>
      <c r="D75" s="11">
        <v>158</v>
      </c>
      <c r="E75" s="11">
        <v>0</v>
      </c>
      <c r="F75" s="11">
        <v>0</v>
      </c>
      <c r="G75" s="11">
        <v>165</v>
      </c>
      <c r="H75" s="11">
        <v>25</v>
      </c>
      <c r="I75" s="12">
        <f t="shared" si="4"/>
        <v>3478</v>
      </c>
      <c r="J75" s="13">
        <f t="shared" si="5"/>
        <v>4.5428407130534788E-2</v>
      </c>
      <c r="K75" s="19">
        <f t="shared" si="6"/>
        <v>-0.86061359962868167</v>
      </c>
      <c r="M75" s="17">
        <f t="shared" si="7"/>
        <v>0.13938640037131833</v>
      </c>
    </row>
    <row r="76" spans="1:13" x14ac:dyDescent="0.25">
      <c r="A76" s="10" t="s">
        <v>103</v>
      </c>
      <c r="B76" s="11">
        <v>27581</v>
      </c>
      <c r="C76" s="11">
        <v>6659</v>
      </c>
      <c r="D76" s="11">
        <v>16622</v>
      </c>
      <c r="E76" s="11">
        <v>0</v>
      </c>
      <c r="F76" s="11">
        <v>79</v>
      </c>
      <c r="G76" s="11">
        <v>89</v>
      </c>
      <c r="H76" s="11">
        <v>105</v>
      </c>
      <c r="I76" s="12">
        <f t="shared" si="4"/>
        <v>51135</v>
      </c>
      <c r="J76" s="13">
        <f t="shared" si="5"/>
        <v>0.3250611127407842</v>
      </c>
      <c r="K76" s="19">
        <f t="shared" si="6"/>
        <v>-2.6263021848587087E-3</v>
      </c>
      <c r="M76" s="17">
        <f t="shared" si="7"/>
        <v>0.99737369781514129</v>
      </c>
    </row>
    <row r="77" spans="1:13" x14ac:dyDescent="0.25">
      <c r="A77" s="10" t="s">
        <v>104</v>
      </c>
      <c r="B77" s="11">
        <v>37106</v>
      </c>
      <c r="C77" s="11">
        <v>5990</v>
      </c>
      <c r="D77" s="11">
        <v>11925</v>
      </c>
      <c r="E77" s="11">
        <v>43</v>
      </c>
      <c r="F77" s="11">
        <v>127</v>
      </c>
      <c r="G77" s="11">
        <v>239</v>
      </c>
      <c r="H77" s="11">
        <v>152</v>
      </c>
      <c r="I77" s="12">
        <f t="shared" si="4"/>
        <v>55582</v>
      </c>
      <c r="J77" s="13">
        <f t="shared" si="5"/>
        <v>0.21454787521139937</v>
      </c>
      <c r="K77" s="19">
        <f t="shared" si="6"/>
        <v>-0.34171022226022463</v>
      </c>
      <c r="M77" s="17">
        <f t="shared" si="7"/>
        <v>0.65828977773977537</v>
      </c>
    </row>
    <row r="78" spans="1:13" x14ac:dyDescent="0.25">
      <c r="A78" s="10" t="s">
        <v>105</v>
      </c>
      <c r="B78" s="11">
        <v>57057</v>
      </c>
      <c r="C78" s="11">
        <v>11252</v>
      </c>
      <c r="D78" s="11">
        <v>23829</v>
      </c>
      <c r="E78" s="11">
        <v>102</v>
      </c>
      <c r="F78" s="11">
        <v>158</v>
      </c>
      <c r="G78" s="11">
        <v>237</v>
      </c>
      <c r="H78" s="11">
        <v>202</v>
      </c>
      <c r="I78" s="12">
        <f t="shared" si="4"/>
        <v>92837</v>
      </c>
      <c r="J78" s="13">
        <f t="shared" si="5"/>
        <v>0.25667567887803355</v>
      </c>
      <c r="K78" s="19">
        <f t="shared" si="6"/>
        <v>-0.21245094861303437</v>
      </c>
      <c r="M78" s="17">
        <f t="shared" si="7"/>
        <v>0.78754905138696563</v>
      </c>
    </row>
    <row r="79" spans="1:13" x14ac:dyDescent="0.25">
      <c r="A79" s="10" t="s">
        <v>106</v>
      </c>
      <c r="B79" s="11">
        <v>47822</v>
      </c>
      <c r="C79" s="11">
        <v>9861</v>
      </c>
      <c r="D79" s="11">
        <v>15052</v>
      </c>
      <c r="E79" s="11">
        <v>881</v>
      </c>
      <c r="F79" s="11">
        <v>26</v>
      </c>
      <c r="G79" s="11">
        <v>231</v>
      </c>
      <c r="H79" s="11">
        <v>74</v>
      </c>
      <c r="I79" s="12">
        <f t="shared" si="4"/>
        <v>73947</v>
      </c>
      <c r="J79" s="13">
        <f t="shared" si="5"/>
        <v>0.20355119206999608</v>
      </c>
      <c r="K79" s="19">
        <f t="shared" si="6"/>
        <v>-0.37545096238126452</v>
      </c>
      <c r="M79" s="17">
        <f t="shared" si="7"/>
        <v>0.62454903761873548</v>
      </c>
    </row>
    <row r="80" spans="1:13" x14ac:dyDescent="0.25">
      <c r="A80" s="10" t="s">
        <v>107</v>
      </c>
      <c r="B80" s="11">
        <v>29222</v>
      </c>
      <c r="C80" s="11">
        <v>3721</v>
      </c>
      <c r="D80" s="11">
        <v>3843</v>
      </c>
      <c r="E80" s="11">
        <v>43</v>
      </c>
      <c r="F80" s="11">
        <v>117</v>
      </c>
      <c r="G80" s="11">
        <v>80</v>
      </c>
      <c r="H80" s="11">
        <v>256</v>
      </c>
      <c r="I80" s="12">
        <f t="shared" si="4"/>
        <v>37282</v>
      </c>
      <c r="J80" s="13">
        <f t="shared" si="5"/>
        <v>0.10307923394667667</v>
      </c>
      <c r="K80" s="19">
        <f t="shared" si="6"/>
        <v>-0.68372557436197456</v>
      </c>
      <c r="M80" s="17">
        <f t="shared" si="7"/>
        <v>0.31627442563802544</v>
      </c>
    </row>
    <row r="81" spans="1:13" x14ac:dyDescent="0.25">
      <c r="A81" s="10" t="s">
        <v>108</v>
      </c>
      <c r="B81" s="11">
        <v>38762</v>
      </c>
      <c r="C81" s="11">
        <v>5007</v>
      </c>
      <c r="D81" s="11">
        <v>4922</v>
      </c>
      <c r="E81" s="11">
        <v>14</v>
      </c>
      <c r="F81" s="11">
        <v>27</v>
      </c>
      <c r="G81" s="11">
        <v>446</v>
      </c>
      <c r="H81" s="11">
        <v>398</v>
      </c>
      <c r="I81" s="12">
        <f t="shared" si="4"/>
        <v>49576</v>
      </c>
      <c r="J81" s="13">
        <f t="shared" si="5"/>
        <v>9.9281910601904153E-2</v>
      </c>
      <c r="K81" s="19">
        <f t="shared" si="6"/>
        <v>-0.69537676940724502</v>
      </c>
      <c r="M81" s="17">
        <f t="shared" si="7"/>
        <v>0.30462323059275498</v>
      </c>
    </row>
    <row r="82" spans="1:13" x14ac:dyDescent="0.25">
      <c r="A82" s="10" t="s">
        <v>109</v>
      </c>
      <c r="B82" s="11">
        <v>33448</v>
      </c>
      <c r="C82" s="11">
        <v>5491</v>
      </c>
      <c r="D82" s="11">
        <v>3404</v>
      </c>
      <c r="E82" s="11">
        <v>14</v>
      </c>
      <c r="F82" s="11">
        <v>106</v>
      </c>
      <c r="G82" s="11">
        <v>12</v>
      </c>
      <c r="H82" s="11">
        <v>190</v>
      </c>
      <c r="I82" s="12">
        <f t="shared" si="4"/>
        <v>42665</v>
      </c>
      <c r="J82" s="13">
        <f t="shared" si="5"/>
        <v>7.9784366576819407E-2</v>
      </c>
      <c r="K82" s="19">
        <f t="shared" si="6"/>
        <v>-0.75520040508808239</v>
      </c>
      <c r="M82" s="17">
        <f t="shared" si="7"/>
        <v>0.24479959491191761</v>
      </c>
    </row>
    <row r="83" spans="1:13" x14ac:dyDescent="0.25">
      <c r="A83" s="10" t="s">
        <v>110</v>
      </c>
      <c r="B83" s="11">
        <v>73739</v>
      </c>
      <c r="C83" s="11">
        <v>10964</v>
      </c>
      <c r="D83" s="11">
        <v>29103</v>
      </c>
      <c r="E83" s="11">
        <v>153</v>
      </c>
      <c r="F83" s="11">
        <v>309</v>
      </c>
      <c r="G83" s="11">
        <v>285</v>
      </c>
      <c r="H83" s="11">
        <v>461</v>
      </c>
      <c r="I83" s="12">
        <f t="shared" si="4"/>
        <v>115014</v>
      </c>
      <c r="J83" s="13">
        <f t="shared" si="5"/>
        <v>0.25303876049872187</v>
      </c>
      <c r="K83" s="19">
        <f t="shared" si="6"/>
        <v>-0.22360997868599952</v>
      </c>
      <c r="M83" s="17">
        <f t="shared" si="7"/>
        <v>0.77639002131400048</v>
      </c>
    </row>
    <row r="84" spans="1:13" x14ac:dyDescent="0.25">
      <c r="A84" s="10" t="s">
        <v>111</v>
      </c>
      <c r="B84" s="11">
        <v>41880</v>
      </c>
      <c r="C84" s="11">
        <v>6851</v>
      </c>
      <c r="D84" s="11">
        <v>9147</v>
      </c>
      <c r="E84" s="11">
        <v>210</v>
      </c>
      <c r="F84" s="11">
        <v>139</v>
      </c>
      <c r="G84" s="11">
        <v>95</v>
      </c>
      <c r="H84" s="11">
        <v>260</v>
      </c>
      <c r="I84" s="12">
        <f t="shared" si="4"/>
        <v>58582</v>
      </c>
      <c r="J84" s="13">
        <f t="shared" si="5"/>
        <v>0.15614011129698543</v>
      </c>
      <c r="K84" s="19">
        <f t="shared" si="6"/>
        <v>-0.52092073127883798</v>
      </c>
      <c r="M84" s="17">
        <f t="shared" si="7"/>
        <v>0.47907926872116202</v>
      </c>
    </row>
    <row r="85" spans="1:13" x14ac:dyDescent="0.25">
      <c r="A85" s="10" t="s">
        <v>221</v>
      </c>
      <c r="B85" s="11">
        <v>799828</v>
      </c>
      <c r="C85" s="11">
        <v>164470</v>
      </c>
      <c r="D85" s="11">
        <v>331400</v>
      </c>
      <c r="E85" s="11">
        <v>12151</v>
      </c>
      <c r="F85" s="11">
        <v>2162</v>
      </c>
      <c r="G85" s="11">
        <v>6374</v>
      </c>
      <c r="H85" s="11">
        <v>4115</v>
      </c>
      <c r="I85" s="12">
        <f t="shared" si="4"/>
        <v>1320500</v>
      </c>
      <c r="J85" s="13">
        <f t="shared" si="5"/>
        <v>0.25096554335478988</v>
      </c>
      <c r="K85" s="19">
        <f t="shared" si="6"/>
        <v>-0.22997115868622342</v>
      </c>
      <c r="M85" s="17">
        <f t="shared" si="7"/>
        <v>0.77002884131377658</v>
      </c>
    </row>
    <row r="86" spans="1:13" x14ac:dyDescent="0.25">
      <c r="A86" s="10" t="s">
        <v>222</v>
      </c>
      <c r="B86" s="11">
        <v>493808</v>
      </c>
      <c r="C86" s="11">
        <v>120249</v>
      </c>
      <c r="D86" s="11">
        <v>259715</v>
      </c>
      <c r="E86" s="11">
        <v>10207</v>
      </c>
      <c r="F86" s="11">
        <v>1498</v>
      </c>
      <c r="G86" s="11">
        <v>4775</v>
      </c>
      <c r="H86" s="11">
        <v>2303</v>
      </c>
      <c r="I86" s="12">
        <f t="shared" si="4"/>
        <v>892555</v>
      </c>
      <c r="J86" s="13">
        <f t="shared" si="5"/>
        <v>0.29097926738408275</v>
      </c>
      <c r="K86" s="19">
        <f t="shared" si="6"/>
        <v>-0.10719844200548334</v>
      </c>
      <c r="M86" s="17">
        <f t="shared" si="7"/>
        <v>0.89280155799451666</v>
      </c>
    </row>
    <row r="87" spans="1:13" x14ac:dyDescent="0.25">
      <c r="A87" s="15" t="s">
        <v>112</v>
      </c>
      <c r="B87" s="11">
        <v>38196</v>
      </c>
      <c r="C87" s="11">
        <v>5784</v>
      </c>
      <c r="D87" s="11">
        <v>4124</v>
      </c>
      <c r="E87" s="11">
        <v>27</v>
      </c>
      <c r="F87" s="11">
        <v>11</v>
      </c>
      <c r="G87" s="11">
        <v>5</v>
      </c>
      <c r="H87" s="11">
        <v>123</v>
      </c>
      <c r="I87" s="12">
        <f t="shared" si="4"/>
        <v>48270</v>
      </c>
      <c r="J87" s="13">
        <f t="shared" si="5"/>
        <v>8.5436088667909679E-2</v>
      </c>
      <c r="K87" s="19">
        <f t="shared" si="6"/>
        <v>-0.73785942291557238</v>
      </c>
      <c r="L87" s="18">
        <v>24.603797756059265</v>
      </c>
      <c r="M87" s="17">
        <f t="shared" si="7"/>
        <v>0.26214057708442762</v>
      </c>
    </row>
    <row r="88" spans="1:13" x14ac:dyDescent="0.25">
      <c r="A88" s="10" t="s">
        <v>113</v>
      </c>
      <c r="B88" s="11">
        <v>38602</v>
      </c>
      <c r="C88" s="11">
        <v>3945</v>
      </c>
      <c r="D88" s="11">
        <v>3357</v>
      </c>
      <c r="E88" s="11">
        <v>29</v>
      </c>
      <c r="F88" s="11">
        <v>128</v>
      </c>
      <c r="G88" s="11">
        <v>351</v>
      </c>
      <c r="H88" s="11">
        <v>214</v>
      </c>
      <c r="I88" s="12">
        <f t="shared" si="4"/>
        <v>46626</v>
      </c>
      <c r="J88" s="13">
        <f t="shared" si="5"/>
        <v>7.1998455797194702E-2</v>
      </c>
      <c r="K88" s="19">
        <f t="shared" si="6"/>
        <v>-0.77908964412888249</v>
      </c>
      <c r="M88" s="17">
        <f t="shared" si="7"/>
        <v>0.22091035587111751</v>
      </c>
    </row>
    <row r="89" spans="1:13" x14ac:dyDescent="0.25">
      <c r="A89" s="10" t="s">
        <v>114</v>
      </c>
      <c r="B89" s="11">
        <v>59338</v>
      </c>
      <c r="C89" s="11">
        <v>5806</v>
      </c>
      <c r="D89" s="11">
        <v>24028</v>
      </c>
      <c r="E89" s="11">
        <v>798</v>
      </c>
      <c r="F89" s="11">
        <v>421</v>
      </c>
      <c r="G89" s="11">
        <v>28</v>
      </c>
      <c r="H89" s="11">
        <v>167</v>
      </c>
      <c r="I89" s="12">
        <f t="shared" si="4"/>
        <v>90586</v>
      </c>
      <c r="J89" s="13">
        <f t="shared" si="5"/>
        <v>0.26525070099132314</v>
      </c>
      <c r="K89" s="19">
        <f t="shared" si="6"/>
        <v>-0.18614050673376126</v>
      </c>
      <c r="M89" s="17">
        <f t="shared" si="7"/>
        <v>0.81385949326623874</v>
      </c>
    </row>
    <row r="90" spans="1:13" x14ac:dyDescent="0.25">
      <c r="A90" s="10" t="s">
        <v>115</v>
      </c>
      <c r="B90" s="11">
        <v>26420</v>
      </c>
      <c r="C90" s="11">
        <v>4201</v>
      </c>
      <c r="D90" s="11">
        <v>4904</v>
      </c>
      <c r="E90" s="11">
        <v>327</v>
      </c>
      <c r="F90" s="11">
        <v>150</v>
      </c>
      <c r="G90" s="11">
        <v>633</v>
      </c>
      <c r="H90" s="11">
        <v>367</v>
      </c>
      <c r="I90" s="12">
        <f t="shared" si="4"/>
        <v>37002</v>
      </c>
      <c r="J90" s="13">
        <f t="shared" si="5"/>
        <v>0.13253337657423922</v>
      </c>
      <c r="K90" s="19">
        <f t="shared" si="6"/>
        <v>-0.59335245374864298</v>
      </c>
      <c r="M90" s="17">
        <f t="shared" si="7"/>
        <v>0.40664754625135702</v>
      </c>
    </row>
    <row r="91" spans="1:13" x14ac:dyDescent="0.25">
      <c r="A91" s="10" t="s">
        <v>116</v>
      </c>
      <c r="B91" s="11">
        <v>15612</v>
      </c>
      <c r="C91" s="11">
        <v>2794</v>
      </c>
      <c r="D91" s="11">
        <v>3643</v>
      </c>
      <c r="E91" s="11">
        <v>19</v>
      </c>
      <c r="F91" s="11">
        <v>67</v>
      </c>
      <c r="G91" s="11">
        <v>443</v>
      </c>
      <c r="H91" s="11">
        <v>164</v>
      </c>
      <c r="I91" s="12">
        <f t="shared" si="4"/>
        <v>22742</v>
      </c>
      <c r="J91" s="13">
        <f t="shared" si="5"/>
        <v>0.16018819804766513</v>
      </c>
      <c r="K91" s="19">
        <f t="shared" si="6"/>
        <v>-0.50850012760354857</v>
      </c>
      <c r="M91" s="17">
        <f t="shared" si="7"/>
        <v>0.49149987239645143</v>
      </c>
    </row>
    <row r="92" spans="1:13" x14ac:dyDescent="0.25">
      <c r="A92" s="10" t="s">
        <v>117</v>
      </c>
      <c r="B92" s="11">
        <v>57060</v>
      </c>
      <c r="C92" s="11">
        <v>9856</v>
      </c>
      <c r="D92" s="11">
        <v>29519</v>
      </c>
      <c r="E92" s="11">
        <v>163</v>
      </c>
      <c r="F92" s="11">
        <v>94</v>
      </c>
      <c r="G92" s="11">
        <v>23</v>
      </c>
      <c r="H92" s="11">
        <v>295</v>
      </c>
      <c r="I92" s="12">
        <f t="shared" si="4"/>
        <v>97010</v>
      </c>
      <c r="J92" s="13">
        <f t="shared" si="5"/>
        <v>0.30428821770951447</v>
      </c>
      <c r="K92" s="19">
        <f t="shared" si="6"/>
        <v>-6.6363052966810332E-2</v>
      </c>
      <c r="M92" s="17">
        <f t="shared" si="7"/>
        <v>0.93363694703318967</v>
      </c>
    </row>
    <row r="93" spans="1:13" x14ac:dyDescent="0.25">
      <c r="A93" s="10" t="s">
        <v>118</v>
      </c>
      <c r="B93" s="11">
        <v>2956</v>
      </c>
      <c r="C93" s="11">
        <v>370</v>
      </c>
      <c r="D93" s="11">
        <v>175</v>
      </c>
      <c r="E93" s="11">
        <v>5</v>
      </c>
      <c r="F93" s="11">
        <v>11</v>
      </c>
      <c r="G93" s="11">
        <v>76</v>
      </c>
      <c r="H93" s="11">
        <v>53</v>
      </c>
      <c r="I93" s="12">
        <f t="shared" si="4"/>
        <v>3646</v>
      </c>
      <c r="J93" s="13">
        <f t="shared" si="5"/>
        <v>4.7997805814591336E-2</v>
      </c>
      <c r="K93" s="19">
        <f t="shared" si="6"/>
        <v>-0.85273000307949243</v>
      </c>
      <c r="M93" s="17">
        <f t="shared" si="7"/>
        <v>0.14726999692050757</v>
      </c>
    </row>
    <row r="94" spans="1:13" x14ac:dyDescent="0.25">
      <c r="A94" s="10" t="s">
        <v>119</v>
      </c>
      <c r="B94" s="11">
        <v>63057</v>
      </c>
      <c r="C94" s="11">
        <v>12364</v>
      </c>
      <c r="D94" s="11">
        <v>17456</v>
      </c>
      <c r="E94" s="11">
        <v>106</v>
      </c>
      <c r="F94" s="11">
        <v>141</v>
      </c>
      <c r="G94" s="11">
        <v>366</v>
      </c>
      <c r="H94" s="11">
        <v>183</v>
      </c>
      <c r="I94" s="12">
        <f t="shared" si="4"/>
        <v>93673</v>
      </c>
      <c r="J94" s="13">
        <f t="shared" si="5"/>
        <v>0.18635038911959689</v>
      </c>
      <c r="K94" s="19">
        <f t="shared" si="6"/>
        <v>-0.42822758736534794</v>
      </c>
      <c r="M94" s="17">
        <f t="shared" si="7"/>
        <v>0.57177241263465206</v>
      </c>
    </row>
    <row r="95" spans="1:13" x14ac:dyDescent="0.25">
      <c r="A95" s="10" t="s">
        <v>120</v>
      </c>
      <c r="B95" s="11">
        <v>43604</v>
      </c>
      <c r="C95" s="11">
        <v>10490</v>
      </c>
      <c r="D95" s="11">
        <v>8112</v>
      </c>
      <c r="E95" s="11">
        <v>10</v>
      </c>
      <c r="F95" s="11">
        <v>46</v>
      </c>
      <c r="G95" s="11">
        <v>65</v>
      </c>
      <c r="H95" s="11">
        <v>112</v>
      </c>
      <c r="I95" s="12">
        <f t="shared" si="4"/>
        <v>62439</v>
      </c>
      <c r="J95" s="13">
        <f t="shared" si="5"/>
        <v>0.12991880074953155</v>
      </c>
      <c r="K95" s="19">
        <f t="shared" si="6"/>
        <v>-0.60137466574601062</v>
      </c>
      <c r="M95" s="17">
        <f t="shared" si="7"/>
        <v>0.39862533425398938</v>
      </c>
    </row>
    <row r="96" spans="1:13" x14ac:dyDescent="0.25">
      <c r="A96" s="10" t="s">
        <v>121</v>
      </c>
      <c r="B96" s="11">
        <v>32197</v>
      </c>
      <c r="C96" s="11">
        <v>5104</v>
      </c>
      <c r="D96" s="11">
        <v>3408</v>
      </c>
      <c r="E96" s="11">
        <v>188</v>
      </c>
      <c r="F96" s="11">
        <v>101</v>
      </c>
      <c r="G96" s="11">
        <v>1675</v>
      </c>
      <c r="H96" s="11">
        <v>162</v>
      </c>
      <c r="I96" s="12">
        <f t="shared" si="4"/>
        <v>42835</v>
      </c>
      <c r="J96" s="13">
        <f t="shared" si="5"/>
        <v>7.9561106571728726E-2</v>
      </c>
      <c r="K96" s="19">
        <f t="shared" si="6"/>
        <v>-0.75588542599068753</v>
      </c>
      <c r="M96" s="17">
        <f t="shared" si="7"/>
        <v>0.24411457400931247</v>
      </c>
    </row>
    <row r="97" spans="1:13" x14ac:dyDescent="0.25">
      <c r="A97" s="10" t="s">
        <v>122</v>
      </c>
      <c r="B97" s="11">
        <v>116766</v>
      </c>
      <c r="C97" s="11">
        <v>59535</v>
      </c>
      <c r="D97" s="11">
        <v>160989</v>
      </c>
      <c r="E97" s="11">
        <v>8535</v>
      </c>
      <c r="F97" s="11">
        <v>328</v>
      </c>
      <c r="G97" s="11">
        <v>1110</v>
      </c>
      <c r="H97" s="11">
        <v>463</v>
      </c>
      <c r="I97" s="12">
        <f t="shared" si="4"/>
        <v>347726</v>
      </c>
      <c r="J97" s="13">
        <f t="shared" si="5"/>
        <v>0.46297659651564738</v>
      </c>
      <c r="K97" s="19">
        <f t="shared" si="6"/>
        <v>0.4205349762550803</v>
      </c>
      <c r="M97" s="17">
        <f t="shared" si="7"/>
        <v>1.4205349762550803</v>
      </c>
    </row>
    <row r="98" spans="1:13" x14ac:dyDescent="0.25">
      <c r="A98" s="10" t="s">
        <v>223</v>
      </c>
      <c r="B98" s="11">
        <v>306020</v>
      </c>
      <c r="C98" s="11">
        <v>44221</v>
      </c>
      <c r="D98" s="11">
        <v>71685</v>
      </c>
      <c r="E98" s="11">
        <v>1944</v>
      </c>
      <c r="F98" s="11">
        <v>664</v>
      </c>
      <c r="G98" s="11">
        <v>1599</v>
      </c>
      <c r="H98" s="11">
        <v>1812</v>
      </c>
      <c r="I98" s="12">
        <f t="shared" si="4"/>
        <v>427945</v>
      </c>
      <c r="J98" s="13">
        <f t="shared" si="5"/>
        <v>0.16750984355466239</v>
      </c>
      <c r="K98" s="19">
        <f t="shared" si="6"/>
        <v>-0.48603537753906234</v>
      </c>
      <c r="M98" s="17">
        <f t="shared" si="7"/>
        <v>0.51396462246093766</v>
      </c>
    </row>
    <row r="99" spans="1:13" x14ac:dyDescent="0.25">
      <c r="A99" s="10" t="s">
        <v>123</v>
      </c>
      <c r="B99" s="11">
        <v>59104</v>
      </c>
      <c r="C99" s="11">
        <v>8428</v>
      </c>
      <c r="D99" s="11">
        <v>19899</v>
      </c>
      <c r="E99" s="11">
        <v>752</v>
      </c>
      <c r="F99" s="11">
        <v>152</v>
      </c>
      <c r="G99" s="11">
        <v>84</v>
      </c>
      <c r="H99" s="11">
        <v>415</v>
      </c>
      <c r="I99" s="12">
        <f t="shared" si="4"/>
        <v>88834</v>
      </c>
      <c r="J99" s="13">
        <f t="shared" si="5"/>
        <v>0.22400207127901478</v>
      </c>
      <c r="K99" s="19">
        <f t="shared" si="6"/>
        <v>-0.31270224153831572</v>
      </c>
      <c r="M99" s="17">
        <f t="shared" si="7"/>
        <v>0.68729775846168428</v>
      </c>
    </row>
    <row r="100" spans="1:13" x14ac:dyDescent="0.25">
      <c r="A100" s="10" t="s">
        <v>124</v>
      </c>
      <c r="B100" s="11">
        <v>38642</v>
      </c>
      <c r="C100" s="11">
        <v>8261</v>
      </c>
      <c r="D100" s="11">
        <v>10970</v>
      </c>
      <c r="E100" s="11">
        <v>104</v>
      </c>
      <c r="F100" s="11">
        <v>114</v>
      </c>
      <c r="G100" s="11">
        <v>210</v>
      </c>
      <c r="H100" s="11">
        <v>163</v>
      </c>
      <c r="I100" s="12">
        <f t="shared" si="4"/>
        <v>58464</v>
      </c>
      <c r="J100" s="13">
        <f t="shared" si="5"/>
        <v>0.1876368363437329</v>
      </c>
      <c r="K100" s="19">
        <f t="shared" si="6"/>
        <v>-0.42428042612492067</v>
      </c>
      <c r="M100" s="17">
        <f t="shared" si="7"/>
        <v>0.57571957387507933</v>
      </c>
    </row>
    <row r="101" spans="1:13" x14ac:dyDescent="0.25">
      <c r="A101" s="15" t="s">
        <v>125</v>
      </c>
      <c r="B101" s="11">
        <v>30677</v>
      </c>
      <c r="C101" s="11">
        <v>4177</v>
      </c>
      <c r="D101" s="11">
        <v>5894</v>
      </c>
      <c r="E101" s="11">
        <v>131</v>
      </c>
      <c r="F101" s="11">
        <v>122</v>
      </c>
      <c r="G101" s="11">
        <v>38</v>
      </c>
      <c r="H101" s="11">
        <v>188</v>
      </c>
      <c r="I101" s="12">
        <f t="shared" si="4"/>
        <v>41227</v>
      </c>
      <c r="J101" s="13">
        <f t="shared" si="5"/>
        <v>0.14296456205884492</v>
      </c>
      <c r="K101" s="19">
        <f t="shared" si="6"/>
        <v>-0.56134681040466927</v>
      </c>
      <c r="L101" s="18">
        <v>18.8</v>
      </c>
      <c r="M101" s="17">
        <f t="shared" si="7"/>
        <v>0.43865318959533073</v>
      </c>
    </row>
    <row r="102" spans="1:13" ht="15.75" customHeight="1" x14ac:dyDescent="0.25">
      <c r="A102" s="10" t="s">
        <v>126</v>
      </c>
      <c r="B102" s="11">
        <v>15872</v>
      </c>
      <c r="C102" s="11">
        <v>1407</v>
      </c>
      <c r="D102" s="11">
        <v>1972</v>
      </c>
      <c r="E102" s="11">
        <v>164</v>
      </c>
      <c r="F102" s="11">
        <v>23</v>
      </c>
      <c r="G102" s="11">
        <v>115</v>
      </c>
      <c r="H102" s="11">
        <v>133</v>
      </c>
      <c r="I102" s="12">
        <f t="shared" si="4"/>
        <v>19686</v>
      </c>
      <c r="J102" s="13">
        <f t="shared" si="5"/>
        <v>0.1001727115716753</v>
      </c>
      <c r="K102" s="19">
        <f t="shared" si="6"/>
        <v>-0.69264355579781989</v>
      </c>
      <c r="M102" s="17">
        <f t="shared" si="7"/>
        <v>0.30735644420218011</v>
      </c>
    </row>
    <row r="103" spans="1:13" x14ac:dyDescent="0.25">
      <c r="A103" s="10" t="s">
        <v>127</v>
      </c>
      <c r="B103" s="11">
        <v>44216</v>
      </c>
      <c r="C103" s="11">
        <v>6257</v>
      </c>
      <c r="D103" s="11">
        <v>4701</v>
      </c>
      <c r="E103" s="11">
        <v>236</v>
      </c>
      <c r="F103" s="11">
        <v>57</v>
      </c>
      <c r="G103" s="11">
        <v>443</v>
      </c>
      <c r="H103" s="11">
        <v>513</v>
      </c>
      <c r="I103" s="12">
        <f t="shared" si="4"/>
        <v>56423</v>
      </c>
      <c r="J103" s="13">
        <f t="shared" si="5"/>
        <v>8.3317087003526927E-2</v>
      </c>
      <c r="K103" s="19">
        <f t="shared" si="6"/>
        <v>-0.74436108196627271</v>
      </c>
      <c r="M103" s="17">
        <f t="shared" si="7"/>
        <v>0.25563891803372729</v>
      </c>
    </row>
    <row r="104" spans="1:13" x14ac:dyDescent="0.25">
      <c r="A104" s="10" t="s">
        <v>128</v>
      </c>
      <c r="B104" s="11">
        <v>33832</v>
      </c>
      <c r="C104" s="11">
        <v>3574</v>
      </c>
      <c r="D104" s="11">
        <v>7813</v>
      </c>
      <c r="E104" s="11">
        <v>11</v>
      </c>
      <c r="F104" s="11">
        <v>18</v>
      </c>
      <c r="G104" s="11">
        <v>397</v>
      </c>
      <c r="H104" s="11">
        <v>84</v>
      </c>
      <c r="I104" s="12">
        <f t="shared" si="4"/>
        <v>45729</v>
      </c>
      <c r="J104" s="13">
        <f t="shared" si="5"/>
        <v>0.17085438124603644</v>
      </c>
      <c r="K104" s="19">
        <f t="shared" si="6"/>
        <v>-0.47577344895399687</v>
      </c>
      <c r="M104" s="17">
        <f t="shared" si="7"/>
        <v>0.52422655104600313</v>
      </c>
    </row>
    <row r="105" spans="1:13" x14ac:dyDescent="0.25">
      <c r="A105" s="10" t="s">
        <v>129</v>
      </c>
      <c r="B105" s="11">
        <v>15172</v>
      </c>
      <c r="C105" s="11">
        <v>1854</v>
      </c>
      <c r="D105" s="11">
        <v>3592</v>
      </c>
      <c r="E105" s="11">
        <v>92</v>
      </c>
      <c r="F105" s="11">
        <v>34</v>
      </c>
      <c r="G105" s="11">
        <v>134</v>
      </c>
      <c r="H105" s="11">
        <v>60</v>
      </c>
      <c r="I105" s="12">
        <f t="shared" si="4"/>
        <v>20938</v>
      </c>
      <c r="J105" s="13">
        <f t="shared" si="5"/>
        <v>0.17155411214060559</v>
      </c>
      <c r="K105" s="19">
        <f t="shared" si="6"/>
        <v>-0.4736264890057349</v>
      </c>
      <c r="M105" s="17">
        <f t="shared" si="7"/>
        <v>0.5263735109942651</v>
      </c>
    </row>
    <row r="106" spans="1:13" x14ac:dyDescent="0.25">
      <c r="A106" s="15" t="s">
        <v>130</v>
      </c>
      <c r="B106" s="11">
        <v>68505</v>
      </c>
      <c r="C106" s="11">
        <v>10263</v>
      </c>
      <c r="D106" s="11">
        <v>16844</v>
      </c>
      <c r="E106" s="11">
        <v>454</v>
      </c>
      <c r="F106" s="11">
        <v>144</v>
      </c>
      <c r="G106" s="11">
        <v>178</v>
      </c>
      <c r="H106" s="11">
        <v>256</v>
      </c>
      <c r="I106" s="12">
        <f t="shared" si="4"/>
        <v>96644</v>
      </c>
      <c r="J106" s="13">
        <f t="shared" si="5"/>
        <v>0.17428914366127229</v>
      </c>
      <c r="K106" s="19">
        <f t="shared" si="6"/>
        <v>-0.4652346869891596</v>
      </c>
      <c r="L106" s="18">
        <v>37.037775869662923</v>
      </c>
      <c r="M106" s="17">
        <f t="shared" si="7"/>
        <v>0.5347653130108404</v>
      </c>
    </row>
    <row r="107" spans="1:13" x14ac:dyDescent="0.25">
      <c r="A107" s="10" t="s">
        <v>224</v>
      </c>
      <c r="B107" s="11">
        <v>386077</v>
      </c>
      <c r="C107" s="11">
        <v>63648</v>
      </c>
      <c r="D107" s="11">
        <v>127101</v>
      </c>
      <c r="E107" s="11">
        <v>1894</v>
      </c>
      <c r="F107" s="11">
        <v>1595</v>
      </c>
      <c r="G107" s="11">
        <v>4412</v>
      </c>
      <c r="H107" s="11">
        <v>2362</v>
      </c>
      <c r="I107" s="12">
        <f t="shared" si="4"/>
        <v>587089</v>
      </c>
      <c r="J107" s="13">
        <f t="shared" si="5"/>
        <v>0.21649358104137534</v>
      </c>
      <c r="K107" s="19">
        <f t="shared" si="6"/>
        <v>-0.33574028078632367</v>
      </c>
      <c r="M107" s="17">
        <f t="shared" si="7"/>
        <v>0.66425971921367633</v>
      </c>
    </row>
    <row r="108" spans="1:13" x14ac:dyDescent="0.25">
      <c r="A108" s="10" t="s">
        <v>225</v>
      </c>
      <c r="B108" s="11">
        <v>386077</v>
      </c>
      <c r="C108" s="11">
        <v>63648</v>
      </c>
      <c r="D108" s="11">
        <v>127101</v>
      </c>
      <c r="E108" s="11">
        <v>1894</v>
      </c>
      <c r="F108" s="11">
        <v>1595</v>
      </c>
      <c r="G108" s="11">
        <v>4412</v>
      </c>
      <c r="H108" s="11">
        <v>2362</v>
      </c>
      <c r="I108" s="12">
        <f t="shared" si="4"/>
        <v>587089</v>
      </c>
      <c r="J108" s="13">
        <f t="shared" si="5"/>
        <v>0.21649358104137534</v>
      </c>
      <c r="K108" s="19">
        <f t="shared" si="6"/>
        <v>-0.33574028078632367</v>
      </c>
      <c r="M108" s="17">
        <f t="shared" si="7"/>
        <v>0.66425971921367633</v>
      </c>
    </row>
    <row r="109" spans="1:13" x14ac:dyDescent="0.25">
      <c r="A109" s="10" t="s">
        <v>131</v>
      </c>
      <c r="B109" s="11">
        <v>28650</v>
      </c>
      <c r="C109" s="11">
        <v>3123</v>
      </c>
      <c r="D109" s="11">
        <v>4053</v>
      </c>
      <c r="E109" s="11">
        <v>0</v>
      </c>
      <c r="F109" s="11">
        <v>169</v>
      </c>
      <c r="G109" s="11">
        <v>28</v>
      </c>
      <c r="H109" s="11">
        <v>85</v>
      </c>
      <c r="I109" s="12">
        <f t="shared" si="4"/>
        <v>36108</v>
      </c>
      <c r="J109" s="13">
        <f t="shared" si="5"/>
        <v>0.11224659355267531</v>
      </c>
      <c r="K109" s="19">
        <f t="shared" si="6"/>
        <v>-0.6555976839713229</v>
      </c>
      <c r="M109" s="17">
        <f t="shared" si="7"/>
        <v>0.3444023160286771</v>
      </c>
    </row>
    <row r="110" spans="1:13" x14ac:dyDescent="0.25">
      <c r="A110" s="10" t="s">
        <v>132</v>
      </c>
      <c r="B110" s="11">
        <v>41190</v>
      </c>
      <c r="C110" s="11">
        <v>7131</v>
      </c>
      <c r="D110" s="11">
        <v>10308</v>
      </c>
      <c r="E110" s="11">
        <v>168</v>
      </c>
      <c r="F110" s="11">
        <v>40</v>
      </c>
      <c r="G110" s="11">
        <v>521</v>
      </c>
      <c r="H110" s="11">
        <v>210</v>
      </c>
      <c r="I110" s="12">
        <f t="shared" si="4"/>
        <v>59568</v>
      </c>
      <c r="J110" s="13">
        <f t="shared" si="5"/>
        <v>0.17304593070104754</v>
      </c>
      <c r="K110" s="19">
        <f t="shared" si="6"/>
        <v>-0.46904919404248357</v>
      </c>
      <c r="M110" s="17">
        <f t="shared" si="7"/>
        <v>0.53095080595751643</v>
      </c>
    </row>
    <row r="111" spans="1:13" x14ac:dyDescent="0.25">
      <c r="A111" s="10" t="s">
        <v>133</v>
      </c>
      <c r="B111" s="11">
        <v>47571</v>
      </c>
      <c r="C111" s="11">
        <v>6010</v>
      </c>
      <c r="D111" s="11">
        <v>9604</v>
      </c>
      <c r="E111" s="11">
        <v>33</v>
      </c>
      <c r="F111" s="11">
        <v>84</v>
      </c>
      <c r="G111" s="11">
        <v>513</v>
      </c>
      <c r="H111" s="11">
        <v>389</v>
      </c>
      <c r="I111" s="12">
        <f t="shared" si="4"/>
        <v>64204</v>
      </c>
      <c r="J111" s="13">
        <f t="shared" si="5"/>
        <v>0.14958569559529</v>
      </c>
      <c r="K111" s="19">
        <f t="shared" si="6"/>
        <v>-0.54103141683669675</v>
      </c>
      <c r="M111" s="17">
        <f t="shared" si="7"/>
        <v>0.45896858316330325</v>
      </c>
    </row>
    <row r="112" spans="1:13" x14ac:dyDescent="0.25">
      <c r="A112" s="10" t="s">
        <v>134</v>
      </c>
      <c r="B112" s="11">
        <v>31719</v>
      </c>
      <c r="C112" s="11">
        <v>3520</v>
      </c>
      <c r="D112" s="11">
        <v>1964</v>
      </c>
      <c r="E112" s="11">
        <v>9</v>
      </c>
      <c r="F112" s="11">
        <v>70</v>
      </c>
      <c r="G112" s="11">
        <v>653</v>
      </c>
      <c r="H112" s="11">
        <v>235</v>
      </c>
      <c r="I112" s="12">
        <f t="shared" si="4"/>
        <v>38170</v>
      </c>
      <c r="J112" s="13">
        <f t="shared" si="5"/>
        <v>5.1454021482839923E-2</v>
      </c>
      <c r="K112" s="19">
        <f t="shared" si="6"/>
        <v>-0.84212541684515996</v>
      </c>
      <c r="M112" s="17">
        <f t="shared" si="7"/>
        <v>0.15787458315484004</v>
      </c>
    </row>
    <row r="113" spans="1:13" x14ac:dyDescent="0.25">
      <c r="A113" s="10" t="s">
        <v>135</v>
      </c>
      <c r="B113" s="11">
        <v>1512</v>
      </c>
      <c r="C113" s="11">
        <v>144</v>
      </c>
      <c r="D113" s="11">
        <v>39</v>
      </c>
      <c r="E113" s="11">
        <v>0</v>
      </c>
      <c r="F113" s="11">
        <v>0</v>
      </c>
      <c r="G113" s="11">
        <v>66</v>
      </c>
      <c r="H113" s="11">
        <v>12</v>
      </c>
      <c r="I113" s="12">
        <f t="shared" si="4"/>
        <v>1773</v>
      </c>
      <c r="J113" s="13">
        <f t="shared" si="5"/>
        <v>2.1996615905245348E-2</v>
      </c>
      <c r="K113" s="19">
        <f t="shared" si="6"/>
        <v>-0.9325085490545012</v>
      </c>
      <c r="M113" s="17">
        <f t="shared" si="7"/>
        <v>6.7491450945498799E-2</v>
      </c>
    </row>
    <row r="114" spans="1:13" x14ac:dyDescent="0.25">
      <c r="A114" s="10" t="s">
        <v>136</v>
      </c>
      <c r="B114" s="11">
        <v>31081</v>
      </c>
      <c r="C114" s="11">
        <v>4171</v>
      </c>
      <c r="D114" s="11">
        <v>5972</v>
      </c>
      <c r="E114" s="11">
        <v>0</v>
      </c>
      <c r="F114" s="11">
        <v>109</v>
      </c>
      <c r="G114" s="11">
        <v>310</v>
      </c>
      <c r="H114" s="11">
        <v>85</v>
      </c>
      <c r="I114" s="12">
        <f t="shared" si="4"/>
        <v>41728</v>
      </c>
      <c r="J114" s="13">
        <f t="shared" si="5"/>
        <v>0.14311733128834356</v>
      </c>
      <c r="K114" s="19">
        <f t="shared" si="6"/>
        <v>-0.56087807389523958</v>
      </c>
      <c r="M114" s="17">
        <f t="shared" si="7"/>
        <v>0.43912192610476042</v>
      </c>
    </row>
    <row r="115" spans="1:13" x14ac:dyDescent="0.25">
      <c r="A115" s="10" t="s">
        <v>137</v>
      </c>
      <c r="B115" s="11">
        <v>15716</v>
      </c>
      <c r="C115" s="11">
        <v>2118</v>
      </c>
      <c r="D115" s="11">
        <v>2165</v>
      </c>
      <c r="E115" s="11">
        <v>20</v>
      </c>
      <c r="F115" s="11">
        <v>61</v>
      </c>
      <c r="G115" s="11">
        <v>73</v>
      </c>
      <c r="H115" s="11">
        <v>36</v>
      </c>
      <c r="I115" s="12">
        <f t="shared" si="4"/>
        <v>20189</v>
      </c>
      <c r="J115" s="13">
        <f t="shared" si="5"/>
        <v>0.10723661399772152</v>
      </c>
      <c r="K115" s="19">
        <f t="shared" si="6"/>
        <v>-0.67096962985734832</v>
      </c>
      <c r="M115" s="17">
        <f t="shared" si="7"/>
        <v>0.32903037014265168</v>
      </c>
    </row>
    <row r="116" spans="1:13" x14ac:dyDescent="0.25">
      <c r="A116" s="10" t="s">
        <v>138</v>
      </c>
      <c r="B116" s="11">
        <v>24898</v>
      </c>
      <c r="C116" s="11">
        <v>2631</v>
      </c>
      <c r="D116" s="11">
        <v>1982</v>
      </c>
      <c r="E116" s="11">
        <v>0</v>
      </c>
      <c r="F116" s="11">
        <v>253</v>
      </c>
      <c r="G116" s="11">
        <v>4</v>
      </c>
      <c r="H116" s="11">
        <v>246</v>
      </c>
      <c r="I116" s="12">
        <f t="shared" si="4"/>
        <v>30014</v>
      </c>
      <c r="J116" s="13">
        <f t="shared" si="5"/>
        <v>6.6035849936696214E-2</v>
      </c>
      <c r="K116" s="19">
        <f t="shared" si="6"/>
        <v>-0.7973845001501314</v>
      </c>
      <c r="M116" s="17">
        <f t="shared" si="7"/>
        <v>0.2026154998498686</v>
      </c>
    </row>
    <row r="117" spans="1:13" x14ac:dyDescent="0.25">
      <c r="A117" s="10" t="s">
        <v>139</v>
      </c>
      <c r="B117" s="11">
        <v>34240</v>
      </c>
      <c r="C117" s="11">
        <v>3720</v>
      </c>
      <c r="D117" s="11">
        <v>4922</v>
      </c>
      <c r="E117" s="11">
        <v>3</v>
      </c>
      <c r="F117" s="11">
        <v>15</v>
      </c>
      <c r="G117" s="11">
        <v>212</v>
      </c>
      <c r="H117" s="11">
        <v>212</v>
      </c>
      <c r="I117" s="12">
        <f t="shared" si="4"/>
        <v>43324</v>
      </c>
      <c r="J117" s="13">
        <f t="shared" si="5"/>
        <v>0.11360908503369957</v>
      </c>
      <c r="K117" s="19">
        <f t="shared" si="6"/>
        <v>-0.65141719878435922</v>
      </c>
      <c r="M117" s="17">
        <f t="shared" si="7"/>
        <v>0.34858280121564078</v>
      </c>
    </row>
    <row r="118" spans="1:13" x14ac:dyDescent="0.25">
      <c r="A118" s="10" t="s">
        <v>140</v>
      </c>
      <c r="B118" s="11">
        <v>28907</v>
      </c>
      <c r="C118" s="11">
        <v>3260</v>
      </c>
      <c r="D118" s="11">
        <v>3878</v>
      </c>
      <c r="E118" s="11">
        <v>29</v>
      </c>
      <c r="F118" s="11">
        <v>81</v>
      </c>
      <c r="G118" s="11">
        <v>278</v>
      </c>
      <c r="H118" s="11">
        <v>148</v>
      </c>
      <c r="I118" s="12">
        <f t="shared" si="4"/>
        <v>36581</v>
      </c>
      <c r="J118" s="13">
        <f t="shared" si="5"/>
        <v>0.10601131735053716</v>
      </c>
      <c r="K118" s="19">
        <f t="shared" si="6"/>
        <v>-0.67472916491098389</v>
      </c>
      <c r="M118" s="17">
        <f t="shared" si="7"/>
        <v>0.32527083508901611</v>
      </c>
    </row>
    <row r="119" spans="1:13" x14ac:dyDescent="0.25">
      <c r="A119" s="15" t="s">
        <v>141</v>
      </c>
      <c r="B119" s="11">
        <v>100593</v>
      </c>
      <c r="C119" s="11">
        <v>27820</v>
      </c>
      <c r="D119" s="11">
        <v>82214</v>
      </c>
      <c r="E119" s="11">
        <v>1632</v>
      </c>
      <c r="F119" s="11">
        <v>713</v>
      </c>
      <c r="G119" s="11">
        <v>1754</v>
      </c>
      <c r="H119" s="11">
        <v>704</v>
      </c>
      <c r="I119" s="12">
        <f t="shared" si="4"/>
        <v>215430</v>
      </c>
      <c r="J119" s="13">
        <f t="shared" si="5"/>
        <v>0.38162744278884092</v>
      </c>
      <c r="K119" s="19">
        <f>(J119/$J$4)-1</f>
        <v>0.17093419939642929</v>
      </c>
      <c r="L119" s="18">
        <v>79</v>
      </c>
      <c r="M119" s="17">
        <f t="shared" si="7"/>
        <v>1.1709341993964293</v>
      </c>
    </row>
    <row r="120" spans="1:13" x14ac:dyDescent="0.25">
      <c r="M120" s="17"/>
    </row>
  </sheetData>
  <autoFilter ref="A3:M119"/>
  <pageMargins left="0.75" right="0.75" top="0.75" bottom="0.5" header="0.5" footer="0.75"/>
  <pageSetup paperSize="9" orientation="portrait" verticalDpi="0" r:id="rId1"/>
  <headerFooter>
    <oddFooter>&amp;LRM2644Z3JAHN-1315876101-408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20537ee97d477b961033ada76c4a82 xmlns="36389baf-d775-4142-9ba9-987d54fbb0d5">
      <Terms xmlns="http://schemas.microsoft.com/office/infopath/2007/PartnerControls"/>
    </da20537ee97d477b961033ada76c4a82>
    <NIRASProjectID xmlns="36389baf-d775-4142-9ba9-987d54fbb0d5">10409089</NIRASProjectID>
    <NIRASCreatedDate xmlns="36389baf-d775-4142-9ba9-987d54fbb0d5" xsi:nil="true"/>
    <NIRASScaleTxt xmlns="36389baf-d775-4142-9ba9-987d54fbb0d5" xsi:nil="true"/>
    <Delivery xmlns="36389baf-d775-4142-9ba9-987d54fbb0d5"/>
    <i5700158192d457fa5a55d94ad1f5c8a xmlns="36389baf-d775-4142-9ba9-987d54fbb0d5">
      <Terms xmlns="http://schemas.microsoft.com/office/infopath/2007/PartnerControls"/>
    </i5700158192d457fa5a55d94ad1f5c8a>
    <b20adbee33c84350ab297149ab7609e1 xmlns="36389baf-d775-4142-9ba9-987d54fbb0d5">
      <Terms xmlns="http://schemas.microsoft.com/office/infopath/2007/PartnerControls"/>
    </b20adbee33c84350ab297149ab7609e1>
    <NIRASDocumentNo xmlns="36389baf-d775-4142-9ba9-987d54fbb0d5" xsi:nil="true"/>
    <DocumentRevisionIdPublished xmlns="36389baf-d775-4142-9ba9-987d54fbb0d5" xsi:nil="true"/>
    <DocumentRevisionId xmlns="36389baf-d775-4142-9ba9-987d54fbb0d5" xsi:nil="true"/>
    <NIRASRevisionDate xmlns="36389baf-d775-4142-9ba9-987d54fbb0d5" xsi:nil="true"/>
    <NIRASSortOrder xmlns="36389baf-d775-4142-9ba9-987d54fbb0d5" xsi:nil="true"/>
    <NIRASOldModifiedBy xmlns="36389baf-d775-4142-9ba9-987d54fbb0d5" xsi:nil="true"/>
    <TaxCatchAll xmlns="36389baf-d775-4142-9ba9-987d54fbb0d5" xsi:nil="true"/>
    <_dlc_DocId xmlns="50d9b067-50fb-4347-b99b-9c4947e73d72">RM2644Z3JAHN-1315876101-408</_dlc_DocId>
    <_dlc_DocIdUrl xmlns="50d9b067-50fb-4347-b99b-9c4947e73d72">
      <Url>https://niras.sharepoint.com/sites/10409089/_layouts/15/DocIdRedir.aspx?ID=RM2644Z3JAHN-1315876101-408</Url>
      <Description>RM2644Z3JAHN-1315876101-408</Description>
    </_dlc_DocIdUrl>
    <o7ddbb95048e4674b1961839f647280e xmlns="36389baf-d775-4142-9ba9-987d54fbb0d5">
      <Terms xmlns="http://schemas.microsoft.com/office/infopath/2007/PartnerControls"/>
    </o7ddbb95048e4674b1961839f647280e>
    <NIRASOnFrontPage xmlns="36389baf-d775-4142-9ba9-987d54fbb0d5">false</NIRASOnFrontPag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DCD90FCC66DA8F4C882C689D6817D41B00F7FAA506D213A046AEB893614CCEC15A" ma:contentTypeVersion="74" ma:contentTypeDescription="Create a new document." ma:contentTypeScope="" ma:versionID="e2a7a1af6fff5ddfbd3509dc41be281a">
  <xsd:schema xmlns:xsd="http://www.w3.org/2001/XMLSchema" xmlns:xs="http://www.w3.org/2001/XMLSchema" xmlns:p="http://schemas.microsoft.com/office/2006/metadata/properties" xmlns:ns2="36389baf-d775-4142-9ba9-987d54fbb0d5" xmlns:ns3="50d9b067-50fb-4347-b99b-9c4947e73d72" targetNamespace="http://schemas.microsoft.com/office/2006/metadata/properties" ma:root="true" ma:fieldsID="075b2477d56ec30392278914c687dd98" ns2:_="" ns3:_="">
    <xsd:import namespace="36389baf-d775-4142-9ba9-987d54fbb0d5"/>
    <xsd:import namespace="50d9b067-50fb-4347-b99b-9c4947e73d72"/>
    <xsd:element name="properties">
      <xsd:complexType>
        <xsd:sequence>
          <xsd:element name="documentManagement">
            <xsd:complexType>
              <xsd:all>
                <xsd:element ref="ns2:NIRASProjectID" minOccurs="0"/>
                <xsd:element ref="ns2:NIRASCreatedDate" minOccurs="0"/>
                <xsd:element ref="ns2:DocumentRevisionId" minOccurs="0"/>
                <xsd:element ref="ns2:DocumentRevisionIdPublished" minOccurs="0"/>
                <xsd:element ref="ns2:NIRASRevisionDate" minOccurs="0"/>
                <xsd:element ref="ns2:NIRASScaleTxt" minOccurs="0"/>
                <xsd:element ref="ns2:NIRASSortOrder" minOccurs="0"/>
                <xsd:element ref="ns2:Delivery" minOccurs="0"/>
                <xsd:element ref="ns2:NIRASDocumentNo" minOccurs="0"/>
                <xsd:element ref="ns2:NIRASOldModifiedBy" minOccurs="0"/>
                <xsd:element ref="ns2:i5700158192d457fa5a55d94ad1f5c8a" minOccurs="0"/>
                <xsd:element ref="ns2:da20537ee97d477b961033ada76c4a82" minOccurs="0"/>
                <xsd:element ref="ns2:b20adbee33c84350ab297149ab7609e1" minOccurs="0"/>
                <xsd:element ref="ns2:TaxCatchAllLabel" minOccurs="0"/>
                <xsd:element ref="ns2:TaxCatchAll" minOccurs="0"/>
                <xsd:element ref="ns2:o7ddbb95048e4674b1961839f647280e" minOccurs="0"/>
                <xsd:element ref="ns2:NIRASOnFrontPag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89baf-d775-4142-9ba9-987d54fbb0d5" elementFormDefault="qualified">
    <xsd:import namespace="http://schemas.microsoft.com/office/2006/documentManagement/types"/>
    <xsd:import namespace="http://schemas.microsoft.com/office/infopath/2007/PartnerControls"/>
    <xsd:element name="NIRASProjectID" ma:index="2" nillable="true" ma:displayName="Project ID" ma:internalName="NIRASProjectID">
      <xsd:simpleType>
        <xsd:restriction base="dms:Text"/>
      </xsd:simpleType>
    </xsd:element>
    <xsd:element name="NIRASCreatedDate" ma:index="3" nillable="true" ma:displayName="First issue date" ma:format="DateOnly" ma:internalName="NIRASCreatedDate" ma:readOnly="false">
      <xsd:simpleType>
        <xsd:restriction base="dms:DateTime"/>
      </xsd:simpleType>
    </xsd:element>
    <xsd:element name="DocumentRevisionId" ma:index="5" nillable="true" ma:displayName="Revision" ma:internalName="DocumentRevisionId">
      <xsd:simpleType>
        <xsd:restriction base="dms:Text"/>
      </xsd:simpleType>
    </xsd:element>
    <xsd:element name="DocumentRevisionIdPublished" ma:index="6" nillable="true" ma:displayName="Last published revision" ma:internalName="DocumentRevisionIdPublished">
      <xsd:simpleType>
        <xsd:restriction base="dms:Text"/>
      </xsd:simpleType>
    </xsd:element>
    <xsd:element name="NIRASRevisionDate" ma:index="7" nillable="true" ma:displayName="Revision date" ma:internalName="NIRASRevisionDate">
      <xsd:simpleType>
        <xsd:restriction base="dms:DateTime"/>
      </xsd:simpleType>
    </xsd:element>
    <xsd:element name="NIRASScaleTxt" ma:index="9" nillable="true" ma:displayName="Scale" ma:internalName="NIRASScaleTxt">
      <xsd:simpleType>
        <xsd:restriction base="dms:Text">
          <xsd:maxLength value="255"/>
        </xsd:restriction>
      </xsd:simpleType>
    </xsd:element>
    <xsd:element name="NIRASSortOrder" ma:index="11" nillable="true" ma:displayName="Sort order" ma:internalName="NIRASSortOrder">
      <xsd:simpleType>
        <xsd:restriction base="dms:Number"/>
      </xsd:simpleType>
    </xsd:element>
    <xsd:element name="Delivery" ma:index="12" nillable="true" ma:displayName="Delivery" ma:list="{f93e3eec-39da-473a-bd57-d0a3a837515a}" ma:internalName="Delivery" ma:readOnly="false" ma:showField="NIRASDocListName" ma:web="50d9b067-50fb-4347-b99b-9c4947e73d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IRASDocumentNo" ma:index="13" nillable="true" ma:displayName="Old document ID" ma:description="Old document number from source system" ma:internalName="NIRASDocumentNo" ma:readOnly="false">
      <xsd:simpleType>
        <xsd:restriction base="dms:Text">
          <xsd:maxLength value="255"/>
        </xsd:restriction>
      </xsd:simpleType>
    </xsd:element>
    <xsd:element name="NIRASOldModifiedBy" ma:index="14" nillable="true" ma:displayName="Old modified by" ma:internalName="NIRASOldModifiedBy" ma:readOnly="false">
      <xsd:simpleType>
        <xsd:restriction base="dms:Text">
          <xsd:maxLength value="255"/>
        </xsd:restriction>
      </xsd:simpleType>
    </xsd:element>
    <xsd:element name="i5700158192d457fa5a55d94ad1f5c8a" ma:index="16" nillable="true" ma:taxonomy="true" ma:internalName="i5700158192d457fa5a55d94ad1f5c8a" ma:taxonomyFieldName="NIRASScale" ma:displayName="Scale_Old" ma:readOnly="false" ma:default="" ma:fieldId="{25700158-192d-457f-a5a5-5d94ad1f5c8a}" ma:sspId="ab2600de-030e-40a3-a341-c72395049305" ma:termSetId="3e7e8768-c6c9-4058-bd1b-2f646ad16e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20537ee97d477b961033ada76c4a82" ma:index="22" nillable="true" ma:taxonomy="true" ma:internalName="da20537ee97d477b961033ada76c4a82" ma:taxonomyFieldName="NIRASQAStatus" ma:displayName="QA Status" ma:readOnly="false" ma:default="" ma:fieldId="{da20537e-e97d-477b-9610-33ada76c4a82}" ma:sspId="ab2600de-030e-40a3-a341-c72395049305" ma:termSetId="94d4a05f-61b3-4765-97ef-9ba750d26c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adbee33c84350ab297149ab7609e1" ma:index="23" nillable="true" ma:taxonomy="true" ma:internalName="b20adbee33c84350ab297149ab7609e1" ma:taxonomyFieldName="NIRASDocumentKind" ma:displayName="Document content" ma:readOnly="false" ma:default="" ma:fieldId="{b20adbee-33c8-4350-ab29-7149ab7609e1}" ma:taxonomyMulti="true" ma:sspId="ab2600de-030e-40a3-a341-c72395049305" ma:termSetId="0c6706ef-2aa8-49e9-8152-ee2cbb588c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4" nillable="true" ma:displayName="Taxonomy Catch All Column1" ma:hidden="true" ma:list="{3b21197e-af99-4294-971e-28907ce8f381}" ma:internalName="TaxCatchAllLabel" ma:readOnly="true" ma:showField="CatchAllDataLabel" ma:web="50d9b067-50fb-4347-b99b-9c4947e73d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5" nillable="true" ma:displayName="Taxonomy Catch All Column" ma:hidden="true" ma:list="{3b21197e-af99-4294-971e-28907ce8f381}" ma:internalName="TaxCatchAll" ma:showField="CatchAllData" ma:web="50d9b067-50fb-4347-b99b-9c4947e73d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7ddbb95048e4674b1961839f647280e" ma:index="26" nillable="true" ma:taxonomy="true" ma:internalName="o7ddbb95048e4674b1961839f647280e" ma:taxonomyFieldName="NIRASQAGroup" ma:displayName="Country" ma:readOnly="false" ma:default="" ma:fieldId="{87ddbb95-048e-4674-b196-1839f647280e}" ma:taxonomyMulti="true" ma:sspId="ab2600de-030e-40a3-a341-c72395049305" ma:termSetId="6fd9237d-65aa-4da7-afa0-2c7efb1a21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IRASOnFrontPage" ma:index="28" nillable="true" ma:displayName="On front page" ma:default="0" ma:internalName="NIRASOnFrontPag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9b067-50fb-4347-b99b-9c4947e73d72" elementFormDefault="qualified">
    <xsd:import namespace="http://schemas.microsoft.com/office/2006/documentManagement/types"/>
    <xsd:import namespace="http://schemas.microsoft.com/office/infopath/2007/PartnerControls"/>
    <xsd:element name="_dlc_DocId" ma:index="2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ab2600de-030e-40a3-a341-c72395049305" ContentTypeId="0x010100DCD90FCC66DA8F4C882C689D6817D41B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80219B9-3AE5-437C-AF13-70252AE180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BCC0F9-F4F7-46ED-A7EB-66CE6D6FF47E}">
  <ds:schemaRefs>
    <ds:schemaRef ds:uri="http://www.w3.org/XML/1998/namespace"/>
    <ds:schemaRef ds:uri="36389baf-d775-4142-9ba9-987d54fbb0d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0d9b067-50fb-4347-b99b-9c4947e73d7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B4DB27-2114-4403-A9C6-34458E8784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389baf-d775-4142-9ba9-987d54fbb0d5"/>
    <ds:schemaRef ds:uri="50d9b067-50fb-4347-b99b-9c4947e73d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268EA2F-9DE6-43A6-9659-A8BED0B07A0A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082351B0-EAB8-4F2D-BEE6-5E16ACF17AE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Model</vt:lpstr>
      <vt:lpstr>Fordeling efter plast</vt:lpstr>
      <vt:lpstr>Fordeling til producenter</vt:lpstr>
      <vt:lpstr>Belastningsfaktor</vt:lpstr>
      <vt:lpstr>Pendling</vt:lpstr>
      <vt:lpstr>Boligforhold</vt:lpstr>
    </vt:vector>
  </TitlesOfParts>
  <Manager/>
  <Company>NIRAS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Rasmus Nyegaard</dc:creator>
  <cp:keywords/>
  <dc:description/>
  <cp:lastModifiedBy>Julie Uldall Jensen</cp:lastModifiedBy>
  <cp:revision/>
  <dcterms:created xsi:type="dcterms:W3CDTF">2020-08-28T13:31:46Z</dcterms:created>
  <dcterms:modified xsi:type="dcterms:W3CDTF">2023-04-18T13:13:00Z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0x010100DCD90FCC66DA8F4C882C689D6817D41B00F7FAA506D213A046AEB893614CCEC15A</vt:lpwstr>
  </property>
  <property fmtid="{D5CDD505-2E9C-101B-9397-08002B2CF9AE}" pid="3" name="_dlc_DocIdItemGuid">
    <vt:lpwstr>ebc8a3d7-57b0-4582-91f9-2a09bb68d7d3</vt:lpwstr>
  </property>
  <property fmtid="{D5CDD505-2E9C-101B-9397-08002B2CF9AE}" pid="4" name="NIRASScale">
    <vt:lpwstr/>
  </property>
  <property fmtid="{D5CDD505-2E9C-101B-9397-08002B2CF9AE}" pid="5" name="NIRASQAStatus">
    <vt:lpwstr/>
  </property>
  <property fmtid="{D5CDD505-2E9C-101B-9397-08002B2CF9AE}" pid="6" name="NIRASDocumentKind">
    <vt:lpwstr/>
  </property>
  <property fmtid="{D5CDD505-2E9C-101B-9397-08002B2CF9AE}" pid="7" name="FooterLeftText">
    <vt:lpwstr>&lt;ModuleFooterText/&gt;</vt:lpwstr>
  </property>
  <property fmtid="{D5CDD505-2E9C-101B-9397-08002B2CF9AE}" pid="8" name="ApplyLanguageRun">
    <vt:lpwstr>true</vt:lpwstr>
  </property>
  <property fmtid="{D5CDD505-2E9C-101B-9397-08002B2CF9AE}" pid="9" name="NIRASQAGroup">
    <vt:lpwstr/>
  </property>
  <property fmtid="{D5CDD505-2E9C-101B-9397-08002B2CF9AE}" pid="10" name="Binding_Root_Collection_0">
    <vt:lpwstr>{"ModuleFooterText":{"SkabelonDesign":{"type":"Text","binding":"Module.FooterText"}}}</vt:lpwstr>
  </property>
</Properties>
</file>